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35" tabRatio="944"/>
  </bookViews>
  <sheets>
    <sheet name="C.2 工程项目招标控制价扉页(扉-2)" sheetId="45" r:id="rId1"/>
    <sheet name="B1 清单报价总说明" sheetId="2" r:id="rId2"/>
    <sheet name="C1 工程项目投标总价表" sheetId="3" r:id="rId3"/>
    <sheet name="C1-1单项工程预算汇总表-ZL型" sheetId="34" r:id="rId4"/>
    <sheet name="C1-2单项工程预算汇总表-ZL型" sheetId="33" r:id="rId5"/>
    <sheet name="C1-3单位工程预算汇总表-ZL型" sheetId="32" r:id="rId6"/>
    <sheet name="C1-1单项工程预算汇总表-FY型" sheetId="31" r:id="rId7"/>
    <sheet name="C1-2单项工程预算汇总表-FY型" sheetId="30" r:id="rId8"/>
    <sheet name="C1-3单位工程预算汇总表-FY型" sheetId="29" r:id="rId9"/>
    <sheet name="C1-1单项工程预算汇总表-GP型" sheetId="28" r:id="rId10"/>
    <sheet name="C1-2单项工程预算汇总表-GP型" sheetId="27" r:id="rId11"/>
    <sheet name="C1-3单位工程预算汇总表-GP型" sheetId="26" r:id="rId12"/>
    <sheet name="D1-1 分部分项工程量清单计价表【集约人工林栽培‖ZL型】" sheetId="7" r:id="rId13"/>
    <sheet name="D3-3 分部分项工程量清单综合单价计算表(分页不带材料)~1" sheetId="8" r:id="rId14"/>
    <sheet name="D3-4 分部分项工程量清单综合单价计算表(分页带材料)ZL型" sheetId="9" r:id="rId15"/>
    <sheet name="E.1分部分项工程总价措施项目清单计价表-ZL型" sheetId="20" r:id="rId16"/>
    <sheet name="F.1其他项目清单与计价汇总表(ZL型）" sheetId="36" r:id="rId17"/>
    <sheet name="F1.1暂列金额明细表（ZL型）" sheetId="37" r:id="rId18"/>
    <sheet name="G.1规费、税金项目清单计价表-ZL型" sheetId="21" r:id="rId19"/>
    <sheet name="H1 主要材料价格表【集约人工林栽培‖ZL型】" sheetId="10" r:id="rId20"/>
    <sheet name="D1-1 分部分项工程量清单计价表【中幼龄林抚育‖FY】" sheetId="11" r:id="rId21"/>
    <sheet name="D3-3 分部分项工程量清单综合单价计算表(分页不带材料)~2" sheetId="12" r:id="rId22"/>
    <sheet name="D3-4 分部分项工程量清单综合单价计算表(分页带材料)【中~" sheetId="13" r:id="rId23"/>
    <sheet name="E.1分部分项工程总价措施项目清单计价表-FY型" sheetId="22" r:id="rId24"/>
    <sheet name="F.1其他项目清单与计价汇总表(FY型）" sheetId="38" r:id="rId25"/>
    <sheet name="F1.1暂列金额明细表（FY型）" sheetId="39" r:id="rId26"/>
    <sheet name="G.1规费、税金项目清单计价表-FY型" sheetId="23" r:id="rId27"/>
    <sheet name="H1 主要材料价格表【中幼龄林抚育‖FY】" sheetId="14" r:id="rId28"/>
    <sheet name="D1-1 分部分项工程量清单计价表【现有林改培‖GP】" sheetId="15" r:id="rId29"/>
    <sheet name="D3-3 分部分项工程量清单综合单价计算表(分页不带材料)~3" sheetId="16" r:id="rId30"/>
    <sheet name="D3-4 分部分项工程量清单综合单价计算表(分页带材料)【现~" sheetId="17" r:id="rId31"/>
    <sheet name="E.1分部分项工程总价措施项目清单计价表-GP型" sheetId="24" r:id="rId32"/>
    <sheet name="F.1其他项目清单与计价汇总表(GP型）" sheetId="40" r:id="rId33"/>
    <sheet name="F1.1暂列金额明细表（GP型）" sheetId="41" r:id="rId34"/>
    <sheet name="G.1规费、税金项目清单计价表-GP型" sheetId="25" r:id="rId35"/>
    <sheet name="H1 主要材料价格表【现有林改培‖GP】" sheetId="18" r:id="rId36"/>
  </sheets>
  <externalReferences>
    <externalReference r:id="rId37"/>
  </externalReferences>
  <definedNames>
    <definedName name="_xlnm.Print_Area" localSheetId="13">'D3-3 分部分项工程量清单综合单价计算表(分页不带材料)~1'!$A$1:$K$19</definedName>
    <definedName name="_xlnm.Print_Area" localSheetId="21">'D3-3 分部分项工程量清单综合单价计算表(分页不带材料)~2'!$A$1:$K$18</definedName>
    <definedName name="_xlnm.Print_Area" localSheetId="29">'D3-3 分部分项工程量清单综合单价计算表(分页不带材料)~3'!$A$1:$K$76</definedName>
    <definedName name="_xlnm.Print_Area" localSheetId="30">'D3-4 分部分项工程量清单综合单价计算表(分页带材料)【现~'!$A$1:$K$224</definedName>
    <definedName name="_xlnm.Print_Area" localSheetId="22">'D3-4 分部分项工程量清单综合单价计算表(分页带材料)【中~'!$A$1:$K$27</definedName>
    <definedName name="_xlnm.Print_Area" localSheetId="14">'D3-4 分部分项工程量清单综合单价计算表(分页带材料)ZL型'!$A$1:$K$48</definedName>
    <definedName name="_xlnm.Print_Area" localSheetId="16">'F.1其他项目清单与计价汇总表(ZL型）'!$A$1:$F$24</definedName>
    <definedName name="_xlnm.Print_Area" localSheetId="11">'C1-3单位工程预算汇总表-GP型'!$A$1:$D$76</definedName>
    <definedName name="_xlnm.Print_Area" localSheetId="1">'B1 清单报价总说明'!$A$1:$B$6</definedName>
    <definedName name="_xlnm.Print_Area" localSheetId="15">'E.1分部分项工程总价措施项目清单计价表-ZL型'!$A$1:$M$19</definedName>
    <definedName name="_xlnm.Print_Area" localSheetId="23">'E.1分部分项工程总价措施项目清单计价表-FY型'!$A$1:$M$19</definedName>
    <definedName name="_xlnm.Print_Area" localSheetId="31">'E.1分部分项工程总价措施项目清单计价表-GP型'!$A$1:$M$79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<sst xmlns="http://schemas.openxmlformats.org/spreadsheetml/2006/main" count="6426" uniqueCount="540">
  <si>
    <t/>
  </si>
  <si>
    <t>遂宁市安居区国家储备林项目（一期）（二标段）（营造林建设项目）</t>
  </si>
  <si>
    <t>工程</t>
  </si>
  <si>
    <t>栽树专业分包1-常理镇、东禅镇控制价</t>
  </si>
  <si>
    <t>招标控制价(小写):</t>
  </si>
  <si>
    <t>(大写):</t>
  </si>
  <si>
    <t>招　标　人:</t>
  </si>
  <si>
    <t>遂宁市鹏安投资有限公司</t>
  </si>
  <si>
    <t>造价咨询人:</t>
  </si>
  <si>
    <t xml:space="preserve"> </t>
  </si>
  <si>
    <t>(单位盖章)</t>
  </si>
  <si>
    <t>法定代表人 
或其授权人:</t>
  </si>
  <si>
    <t xml:space="preserve">       </t>
  </si>
  <si>
    <t>(签字或盖章)</t>
  </si>
  <si>
    <t>编　制　人:</t>
  </si>
  <si>
    <t xml:space="preserve">阮红岩 </t>
  </si>
  <si>
    <t>复　核　人:</t>
  </si>
  <si>
    <t xml:space="preserve">王运力 </t>
  </si>
  <si>
    <t>(造价人员签字盖专用章)</t>
  </si>
  <si>
    <t>(一级造价工程师签字盖专用章)</t>
  </si>
  <si>
    <t xml:space="preserve">    编 制 时 间:</t>
  </si>
  <si>
    <t>复 核 时 间:</t>
  </si>
  <si>
    <t xml:space="preserve">扉-2 </t>
  </si>
  <si>
    <t>预算总说明</t>
  </si>
  <si>
    <t>工程名称：</t>
  </si>
  <si>
    <t>遂宁市安居区国家储备林项目（一期）（二标段）（营造林建设项目）-栽树专业分包1-常理镇、东禅镇</t>
  </si>
  <si>
    <t>一、工程概况：
工程名称：遂宁市安居区国家储备林项目（一期）（二标段）（营造林建设项目）-栽树专业分包1-常理镇、东禅镇
建设单位：遂宁耀欣建筑工程有限公司
建设地点：遂宁市安居区国家储备林项目（一期）（二标段）（营造林建设项目）位于常理镇、东禅镇、2个乡镇。
工程规模：营造林工程总面积20000亩，其中：集约人工林栽培70.9亩，中幼林抚育0亩，现有林改培4260.5亩。
二、编制依据： 
1、本项目作业设计说明及图纸。
2、中华人民共和国《建设工程工程量清单计价规范（GB50500-2013）》。
3、四川省2020年《四川省建设工程工程量清单计价定额》等以下相关配套文件。
4、《四川省营造林投资标准（试行）》（2023.6.25；川林发〔2023〕28号）。 
5、材料价格：《遂宁工程造价信息》中遂宁市、安居区2025年第4期及2025年同期市场价格综合考虑。
三、其他说明：
1、本预算的定额人工费调整是按川建价发〔2024〕44号文进行调整。
2、根据四川省2020年《四川省建设工程工程量清单计价定额》，规费按4.8%计算。
3、根据四川省2020年《四川省建设工程工程量清单计价定额》，销项增值税按9%计算。
4、安全文明施工费计取为分部分项工程费用的1.4%。
5、预算编制工程量参考设计提供的地块工程量一览表。
6、工程垃圾、拆除垃圾外运及处置费已在剩余物清理项中计取，不再单独计取。
7、其他未尽事宜按相关法律、法规文件等处理。
四、本次招标包含范围：
1、本次招标范围为：常理镇、东禅镇2个乡镇的集约人工林栽培70.9亩，中幼林抚育0亩，现有林改培4260.5亩中的造林全部内容。
2、详见招标清单内容。
3、最终结算以实际完成工程量为准并参考图纸及甲方审核工程量。
4、所有单价均应按招标文件执行相应下浮比。</t>
  </si>
  <si>
    <t xml:space="preserve">五、工程质量、施工等的特殊要求： 
1、本工程质量要求必须符合国家现行《工程施工质量验收规范》合格标准。 
2、本工程施工要求：工程施工必须按经批准的施工组织设计实施,并要符合施工规范及验收标准的相关要求。  
</t>
  </si>
  <si>
    <t>六、金额（价格）均以人民币表示。
金额（价格）：均以人民币表示。</t>
  </si>
  <si>
    <t>清单计价专家</t>
  </si>
  <si>
    <t>工程项目预算总价表</t>
  </si>
  <si>
    <t>第1页共1页</t>
  </si>
  <si>
    <t>序号</t>
  </si>
  <si>
    <t xml:space="preserve">单项工程名称 </t>
  </si>
  <si>
    <t>工程规模(亩）</t>
  </si>
  <si>
    <t>金 额
（元）</t>
  </si>
  <si>
    <t>其中: (元)</t>
  </si>
  <si>
    <t>单位造价（元/亩）</t>
  </si>
  <si>
    <t xml:space="preserve">安全文明施工费  </t>
  </si>
  <si>
    <t>规费</t>
  </si>
  <si>
    <t>集约人工林栽培</t>
  </si>
  <si>
    <t>森林抚育</t>
  </si>
  <si>
    <t>现有林改培</t>
  </si>
  <si>
    <t>-</t>
  </si>
  <si>
    <t>合    计</t>
  </si>
  <si>
    <t>单项工程预算汇总表</t>
  </si>
  <si>
    <t>遂宁市安居区国家储备林项目（一期）（二标段）（营造林建设项目）\集约人工林栽培【ZL型】</t>
  </si>
  <si>
    <t>第1页 共1页</t>
  </si>
  <si>
    <t>序 号</t>
  </si>
  <si>
    <t xml:space="preserve">单位工程名称 </t>
  </si>
  <si>
    <t>金额（元）</t>
  </si>
  <si>
    <t>其中:(元)</t>
  </si>
  <si>
    <t xml:space="preserve">安全文明施工费 </t>
  </si>
  <si>
    <t>1</t>
  </si>
  <si>
    <t>集约造林模型ZL101</t>
  </si>
  <si>
    <t xml:space="preserve">合　　计 </t>
  </si>
  <si>
    <t>汇总内容</t>
  </si>
  <si>
    <t>金  额（元）</t>
  </si>
  <si>
    <t>其中:暂估价(元)</t>
  </si>
  <si>
    <t>分部分项及单价措施项目</t>
  </si>
  <si>
    <t>2</t>
  </si>
  <si>
    <t>总价措施项目</t>
  </si>
  <si>
    <t>2.1</t>
  </si>
  <si>
    <t>其中：安全文明施工费</t>
  </si>
  <si>
    <t>3</t>
  </si>
  <si>
    <t>其他项目</t>
  </si>
  <si>
    <t>3.1</t>
  </si>
  <si>
    <t>其中：暂列金额</t>
  </si>
  <si>
    <t>3.2</t>
  </si>
  <si>
    <t>其中：专业工程暂估价</t>
  </si>
  <si>
    <t>3.3</t>
  </si>
  <si>
    <t>其中：计日工</t>
  </si>
  <si>
    <t>3.4</t>
  </si>
  <si>
    <t>其中：总承包服务费</t>
  </si>
  <si>
    <t>4</t>
  </si>
  <si>
    <t>5</t>
  </si>
  <si>
    <t>创优质工程奖补偿奖励费</t>
  </si>
  <si>
    <t>6</t>
  </si>
  <si>
    <t>税前工程造价</t>
  </si>
  <si>
    <t>6.1</t>
  </si>
  <si>
    <t>其中：甲供材料（设备）费</t>
  </si>
  <si>
    <t>7</t>
  </si>
  <si>
    <t>销项增值税额</t>
  </si>
  <si>
    <t>附加税</t>
  </si>
  <si>
    <t xml:space="preserve"> 招标控制价/投标报价总价合计=税前工程造价+销项增值税额+附加税</t>
  </si>
  <si>
    <t>单位工程预算汇总表</t>
  </si>
  <si>
    <t>遂宁市安居区国家储备林项目（一期）（二标段）（营造林建设项目）\集约人工林栽培【ZL型】 /集约造林模型ZL101</t>
  </si>
  <si>
    <t>遂宁市安居区国家储备林项目（一期）（二标段）（营造林建设项目）\中幼龄林抚育【FY】</t>
  </si>
  <si>
    <t>抚育模型FY101</t>
  </si>
  <si>
    <t>遂宁市安居区国家储备林项目（一期）（二标段）（营造林建设项目）\中幼龄林抚育【FY】/抚育模型FY101</t>
  </si>
  <si>
    <t>遂宁市安居区国家储备林项目（一期）（二标段）（营造林建设项目）\现有林改培【GP】</t>
  </si>
  <si>
    <t>改培模型GP101</t>
  </si>
  <si>
    <t>改培模型GP102</t>
  </si>
  <si>
    <t>改培模型GP01-2</t>
  </si>
  <si>
    <t>改培模型GP103</t>
  </si>
  <si>
    <t>改培模型GP02-1</t>
  </si>
  <si>
    <t>改培模型GP104</t>
  </si>
  <si>
    <t>改培模型GP02-2</t>
  </si>
  <si>
    <t>遂宁市安居区国家储备林项目（一期）（二标段）（营造林建设项目）\现有林改培【GP】/改培模型GP101</t>
  </si>
  <si>
    <t>第1页 共4页</t>
  </si>
  <si>
    <t>遂宁市安居区国家储备林项目（一期）（二标段）（营造林建设项目）作业设计\现有林改培【GP】/改培模型GP102</t>
  </si>
  <si>
    <t>第2页 共4页</t>
  </si>
  <si>
    <t>遂宁市安居区国家储备林项目（一期）（二标段）（营造林建设项目）作业设计\现有林改培【GP】/改培模型GP103</t>
  </si>
  <si>
    <t>第3页 共4页</t>
  </si>
  <si>
    <t>遂宁市安居区国家储备林项目（一期）（二标段）（营造林建设项目）作业设计\现有林改培【GP】/改培模型GP104</t>
  </si>
  <si>
    <t>第4页 共4页</t>
  </si>
  <si>
    <t>分部分项工程量清单计价表</t>
  </si>
  <si>
    <t>工程名称：遂宁市安居区国家储备林项目（一期）（二标段）（营造林建设项目）\集约人工林栽培【ZL型】</t>
  </si>
  <si>
    <t>项目编码</t>
  </si>
  <si>
    <t>项目名称</t>
  </si>
  <si>
    <t>单位</t>
  </si>
  <si>
    <t>工程数量</t>
  </si>
  <si>
    <t>综合单价</t>
  </si>
  <si>
    <t>合价</t>
  </si>
  <si>
    <t>计</t>
  </si>
  <si>
    <t>人工费</t>
  </si>
  <si>
    <t>材料费</t>
  </si>
  <si>
    <t>机械费</t>
  </si>
  <si>
    <t>管理费</t>
  </si>
  <si>
    <t>利润</t>
  </si>
  <si>
    <t>ZL101001</t>
  </si>
  <si>
    <t>亩</t>
  </si>
  <si>
    <t>FY101</t>
  </si>
  <si>
    <t>GP101</t>
  </si>
  <si>
    <t>GP102</t>
  </si>
  <si>
    <t>GP103</t>
  </si>
  <si>
    <t>GP104</t>
  </si>
  <si>
    <t>本页小计</t>
  </si>
  <si>
    <t>合　　计</t>
  </si>
  <si>
    <t xml:space="preserve">分部分项工程量清单综合单价计算表</t>
  </si>
  <si>
    <t xml:space="preserve">           </t>
  </si>
  <si>
    <t xml:space="preserve">遂宁市安居区国家储备林项目（一期）（二标段）（营造林建设项目）【ZL型】      </t>
  </si>
  <si>
    <t xml:space="preserve">计量单位：亩 </t>
  </si>
  <si>
    <t xml:space="preserve">项目编号： </t>
  </si>
  <si>
    <t xml:space="preserve">ZL101   </t>
  </si>
  <si>
    <t>工程数量：793.2</t>
  </si>
  <si>
    <t xml:space="preserve">项目名称： </t>
  </si>
  <si>
    <t xml:space="preserve">集约造林模型ZL101     </t>
  </si>
  <si>
    <t>定额编号</t>
  </si>
  <si>
    <t>工程内容</t>
  </si>
  <si>
    <t>数量</t>
  </si>
  <si>
    <t xml:space="preserve">其中：（元）     </t>
  </si>
  <si>
    <t>小计</t>
  </si>
  <si>
    <t>ZL101-QG</t>
  </si>
  <si>
    <t>清灌</t>
  </si>
  <si>
    <t>ZL101-ZL</t>
  </si>
  <si>
    <t>造林</t>
  </si>
  <si>
    <t>ZL101-SJF</t>
  </si>
  <si>
    <t>施基肥</t>
  </si>
  <si>
    <t>ZL101-WCNFY</t>
  </si>
  <si>
    <t>未成年抚育</t>
  </si>
  <si>
    <t>ZL101-BZ</t>
  </si>
  <si>
    <t>补植</t>
  </si>
  <si>
    <t>ZL101-SZF</t>
  </si>
  <si>
    <t>施追肥</t>
  </si>
  <si>
    <t>ZL101-BCHFZ</t>
  </si>
  <si>
    <t>病虫害防治</t>
  </si>
  <si>
    <t>8</t>
  </si>
  <si>
    <t>ZL101-GH</t>
  </si>
  <si>
    <t>管护</t>
  </si>
  <si>
    <t>9</t>
  </si>
  <si>
    <t>XA0071</t>
  </si>
  <si>
    <t>轮胎式拖拉机 功率（kW） 41 —</t>
  </si>
  <si>
    <t>台班</t>
  </si>
  <si>
    <t>合计</t>
  </si>
  <si>
    <t>第1页共2页</t>
  </si>
  <si>
    <t xml:space="preserve">ZL101    </t>
  </si>
  <si>
    <t xml:space="preserve">集约造林模型ZL101 </t>
  </si>
  <si>
    <t>综合单价：5006.67元</t>
  </si>
  <si>
    <t>保留幼树幼苗标记</t>
  </si>
  <si>
    <t>工日</t>
  </si>
  <si>
    <t>割灌除草</t>
  </si>
  <si>
    <t>剩余物清理</t>
  </si>
  <si>
    <t>清理林地</t>
  </si>
  <si>
    <t>整地挖穴</t>
  </si>
  <si>
    <t>初植</t>
  </si>
  <si>
    <t>香樟</t>
  </si>
  <si>
    <t>株</t>
  </si>
  <si>
    <t>香椿</t>
  </si>
  <si>
    <t>浇水</t>
  </si>
  <si>
    <t>有机肥</t>
  </si>
  <si>
    <t>kg</t>
  </si>
  <si>
    <t>复合肥</t>
  </si>
  <si>
    <t>抚育</t>
  </si>
  <si>
    <t>抚育次数</t>
  </si>
  <si>
    <t>3次</t>
  </si>
  <si>
    <t>第2页共2页</t>
  </si>
  <si>
    <t>农药</t>
  </si>
  <si>
    <t>管护年限</t>
  </si>
  <si>
    <t>3年</t>
  </si>
  <si>
    <t>折旧费（机械）</t>
  </si>
  <si>
    <t>元</t>
  </si>
  <si>
    <t>检修费（机械）</t>
  </si>
  <si>
    <t>维护费（机械）</t>
  </si>
  <si>
    <t>机上人工</t>
  </si>
  <si>
    <t>柴油（机械）</t>
  </si>
  <si>
    <t>L</t>
  </si>
  <si>
    <t>分部分项总价措施项目清单计价表</t>
  </si>
  <si>
    <t>第1页  共1页</t>
  </si>
  <si>
    <t>ZL101</t>
  </si>
  <si>
    <t xml:space="preserve">集约造林模型ZL101   </t>
  </si>
  <si>
    <t>计算基础</t>
  </si>
  <si>
    <t>计算基数</t>
  </si>
  <si>
    <t>费率
（%）</t>
  </si>
  <si>
    <t>金额
（元）</t>
  </si>
  <si>
    <t>调整费率
(%)</t>
  </si>
  <si>
    <t>调整后
金额(元)</t>
  </si>
  <si>
    <t>备注</t>
  </si>
  <si>
    <t>ZL01001001001</t>
  </si>
  <si>
    <t>安全文明施工</t>
  </si>
  <si>
    <t>1.1</t>
  </si>
  <si>
    <t>①</t>
  </si>
  <si>
    <t>环境保护</t>
  </si>
  <si>
    <t>不含总价措施税前造价</t>
  </si>
  <si>
    <t>1.2</t>
  </si>
  <si>
    <t>②</t>
  </si>
  <si>
    <t>文明施工</t>
  </si>
  <si>
    <t>1.3</t>
  </si>
  <si>
    <t>③</t>
  </si>
  <si>
    <t>安全施工</t>
  </si>
  <si>
    <t>1.4</t>
  </si>
  <si>
    <t>④</t>
  </si>
  <si>
    <t>临时设施</t>
  </si>
  <si>
    <t>ZL01001002001</t>
  </si>
  <si>
    <t>夜间施工</t>
  </si>
  <si>
    <t>ZL01001003001</t>
  </si>
  <si>
    <t>二次搬运</t>
  </si>
  <si>
    <t>ZL01001004001</t>
  </si>
  <si>
    <t>冬雨季施工</t>
  </si>
  <si>
    <t>ZL01001005001</t>
  </si>
  <si>
    <t>反季节栽植影响措施</t>
  </si>
  <si>
    <t>ZL01001006001</t>
  </si>
  <si>
    <t>地上、地下设施、建筑物的临时保护设施</t>
  </si>
  <si>
    <t>ZL01001007001</t>
  </si>
  <si>
    <t>已完工程及设备保护</t>
  </si>
  <si>
    <t>ZL01001008001</t>
  </si>
  <si>
    <t>工程定位复测费</t>
  </si>
  <si>
    <t xml:space="preserve">注:1“计算基础”中安全文明施工费可为“定额基价”、“定额人工费”或“定额人工费+定额机械费”，其他项目可为“定额人工费”或“定额人工费+定额机械费”。
   2 按施工方案计算的措施费，若无“计算基础”和“费率”的数值，也可只填“金额”数值，但应在备注栏说明施工方案出处或计算方法。                                 
</t>
  </si>
  <si>
    <t>其他项目清单与计价汇总表</t>
  </si>
  <si>
    <t>项 目 名 称</t>
  </si>
  <si>
    <t>结算金额(元)</t>
  </si>
  <si>
    <t>暂列金额</t>
  </si>
  <si>
    <t>暂估价</t>
  </si>
  <si>
    <t>材料(工程设备)暂估价/结算价</t>
  </si>
  <si>
    <t>2.2</t>
  </si>
  <si>
    <t>专业工程暂估价/结算价</t>
  </si>
  <si>
    <t>计日工</t>
  </si>
  <si>
    <t>总承包服务费</t>
  </si>
  <si>
    <t>暂列金额明细表</t>
  </si>
  <si>
    <t xml:space="preserve">ZL101  </t>
  </si>
  <si>
    <t>计量单位</t>
  </si>
  <si>
    <t>暂定金额(元)</t>
  </si>
  <si>
    <t>项</t>
  </si>
  <si>
    <t xml:space="preserve">注：此表由招标人填写，如不能详列，也可只列暂定金额总额，投标人应将上述暂列金额计入投标总价中。                                        </t>
  </si>
  <si>
    <t>规费、税金项目计价表</t>
  </si>
  <si>
    <t xml:space="preserve">ZL101 </t>
  </si>
  <si>
    <t xml:space="preserve">集约造林模型ZL101    </t>
  </si>
  <si>
    <t>计算费率（％）</t>
  </si>
  <si>
    <t>金额(元)</t>
  </si>
  <si>
    <t>分部分项清单定额人工费+单价措施项目清单定额人工费</t>
  </si>
  <si>
    <t>分部分项工程费+措施项目费+其他项目费+规费+创优质工程奖补偿奖励费-按规定不计税的工程设备金额-除税甲供材料（设备）设备费</t>
  </si>
  <si>
    <t>人工、材料、机械价格表</t>
  </si>
  <si>
    <t>材料编码</t>
  </si>
  <si>
    <t>材料名称</t>
  </si>
  <si>
    <t>规格、型号
等特殊要求</t>
  </si>
  <si>
    <t>单 价 (元)</t>
  </si>
  <si>
    <t>AR000002</t>
  </si>
  <si>
    <t>保留木幼树幼苗标记</t>
  </si>
  <si>
    <t>AR000009</t>
  </si>
  <si>
    <t>AR000010</t>
  </si>
  <si>
    <t>AR000011</t>
  </si>
  <si>
    <t>AR000012</t>
  </si>
  <si>
    <t>AR000013</t>
  </si>
  <si>
    <t>AR000014</t>
  </si>
  <si>
    <t>浇水（含定根水）</t>
  </si>
  <si>
    <t>AR000015</t>
  </si>
  <si>
    <t>保水剂用工</t>
  </si>
  <si>
    <t>AR000016</t>
  </si>
  <si>
    <t>10</t>
  </si>
  <si>
    <t>AR000017</t>
  </si>
  <si>
    <t>11</t>
  </si>
  <si>
    <t>AR000018</t>
  </si>
  <si>
    <t>12</t>
  </si>
  <si>
    <t>AR000019</t>
  </si>
  <si>
    <t>13</t>
  </si>
  <si>
    <t>AR000020</t>
  </si>
  <si>
    <t>14</t>
  </si>
  <si>
    <t>AR000021</t>
  </si>
  <si>
    <t>15</t>
  </si>
  <si>
    <t>AR000022</t>
  </si>
  <si>
    <t>元/亩</t>
  </si>
  <si>
    <t>16</t>
  </si>
  <si>
    <t>AR000023</t>
  </si>
  <si>
    <t>17</t>
  </si>
  <si>
    <t>JX000001</t>
  </si>
  <si>
    <t>拖拉机</t>
  </si>
  <si>
    <t>18</t>
  </si>
  <si>
    <t>UR000037</t>
  </si>
  <si>
    <t>19</t>
  </si>
  <si>
    <t>UR000030</t>
  </si>
  <si>
    <t>20</t>
  </si>
  <si>
    <t>UR000007</t>
  </si>
  <si>
    <t>21</t>
  </si>
  <si>
    <t>UR000008</t>
  </si>
  <si>
    <t>22</t>
  </si>
  <si>
    <t>UR000010</t>
  </si>
  <si>
    <t>工程名称：遂宁市安居区国家储备林项目（一期）（二标段）（营造林建设项目）\中幼龄林抚育【FY】</t>
  </si>
  <si>
    <t xml:space="preserve">分部分项工程量清单综合单价计算表
</t>
  </si>
  <si>
    <t xml:space="preserve">遂宁市安居区国家储备林项目（一期）（二标段）（营造林建设项目）【FY】      </t>
  </si>
  <si>
    <t xml:space="preserve">FY101     </t>
  </si>
  <si>
    <t>工程数量：4374.5</t>
  </si>
  <si>
    <t xml:space="preserve">抚育模型FY101   </t>
  </si>
  <si>
    <t>FY101-SZF</t>
  </si>
  <si>
    <t>生长伐</t>
  </si>
  <si>
    <t>FY101-DJCFY</t>
  </si>
  <si>
    <t>大径材抚育</t>
  </si>
  <si>
    <t>FY101-GH</t>
  </si>
  <si>
    <t xml:space="preserve">FY101  </t>
  </si>
  <si>
    <t xml:space="preserve">抚育模型FY101    </t>
  </si>
  <si>
    <t>综合单价：1464.07元/亩</t>
  </si>
  <si>
    <t>目标树选择及标记</t>
  </si>
  <si>
    <t>采伐木标记</t>
  </si>
  <si>
    <t>采伐</t>
  </si>
  <si>
    <t>造材打枝</t>
  </si>
  <si>
    <t>集材</t>
  </si>
  <si>
    <t>归楞、装车及运出(输)</t>
  </si>
  <si>
    <t>修枝整枝</t>
  </si>
  <si>
    <t xml:space="preserve">遂宁市安居区国家储备林项目（一期）（二标段）（营造林建设项目）【FY型】      </t>
  </si>
  <si>
    <t>FY101001001</t>
  </si>
  <si>
    <t>FY101002001</t>
  </si>
  <si>
    <t>FY101003001</t>
  </si>
  <si>
    <t>FY101004001</t>
  </si>
  <si>
    <t>FY101005001</t>
  </si>
  <si>
    <t>FY101006001</t>
  </si>
  <si>
    <t>FY101007001</t>
  </si>
  <si>
    <t>FY101008001</t>
  </si>
  <si>
    <t xml:space="preserve">抚育模型FY101     </t>
  </si>
  <si>
    <t xml:space="preserve">FY101    </t>
  </si>
  <si>
    <t>AR000001</t>
  </si>
  <si>
    <t>AR000003</t>
  </si>
  <si>
    <t>AR000004</t>
  </si>
  <si>
    <t>AR000005</t>
  </si>
  <si>
    <t>AR000006</t>
  </si>
  <si>
    <t>AR000007</t>
  </si>
  <si>
    <t>AR000008</t>
  </si>
  <si>
    <t>工程名称：遂宁市安居区国家储备林项目（一期）（二标段）（营造林建设项目）\现有林改培【GP】</t>
  </si>
  <si>
    <t>第1页共4页</t>
  </si>
  <si>
    <t xml:space="preserve">遂宁市安居区国家储备林项目（一期）（二标段）（营造林建设项目）【GP】      </t>
  </si>
  <si>
    <t xml:space="preserve">GP101    </t>
  </si>
  <si>
    <t>工程数量：61.6</t>
  </si>
  <si>
    <t xml:space="preserve">改培模型GP101 </t>
  </si>
  <si>
    <t>GP101-ZF</t>
  </si>
  <si>
    <t>择伐</t>
  </si>
  <si>
    <t>GP101-ZL</t>
  </si>
  <si>
    <t>GP101-SJF</t>
  </si>
  <si>
    <t>GP101-WCNFY</t>
  </si>
  <si>
    <t>GP101-BZ</t>
  </si>
  <si>
    <t>GP101-SZF</t>
  </si>
  <si>
    <t>GP101-BCHFZ</t>
  </si>
  <si>
    <t>GP101-GH</t>
  </si>
  <si>
    <t>第2页共4页</t>
  </si>
  <si>
    <t xml:space="preserve">GP102      </t>
  </si>
  <si>
    <t>工程数量：870.6</t>
  </si>
  <si>
    <t xml:space="preserve">改培模型GP102      </t>
  </si>
  <si>
    <t>GP102-ZF</t>
  </si>
  <si>
    <t>GP102-ZL</t>
  </si>
  <si>
    <t>GP102-SJF</t>
  </si>
  <si>
    <t>GP102-WCNFY</t>
  </si>
  <si>
    <t>GP102-BZ</t>
  </si>
  <si>
    <t>GP102-SZF</t>
  </si>
  <si>
    <t>GP102-BCHFZ</t>
  </si>
  <si>
    <t>GP102-GH</t>
  </si>
  <si>
    <t>第3页共4页</t>
  </si>
  <si>
    <t xml:space="preserve">GP103    </t>
  </si>
  <si>
    <t>工程数量：13796.8</t>
  </si>
  <si>
    <t xml:space="preserve">改培模型GP103    </t>
  </si>
  <si>
    <t>GP103-ZF</t>
  </si>
  <si>
    <t>GP103-ZL</t>
  </si>
  <si>
    <t>GP103-SJF</t>
  </si>
  <si>
    <t>GP103-WCNFY</t>
  </si>
  <si>
    <t>GP103-BZ</t>
  </si>
  <si>
    <t>GP103-SZF</t>
  </si>
  <si>
    <t>GP103-BCHFZ</t>
  </si>
  <si>
    <t>GP103-GH</t>
  </si>
  <si>
    <t>第4页共4页</t>
  </si>
  <si>
    <t xml:space="preserve">GP104     </t>
  </si>
  <si>
    <t>工程数量：103.3</t>
  </si>
  <si>
    <t xml:space="preserve">改培模型GP104      </t>
  </si>
  <si>
    <t>GP104-ZF</t>
  </si>
  <si>
    <t>GP104-ZL</t>
  </si>
  <si>
    <t>GP104-SJF</t>
  </si>
  <si>
    <t>GP104-WCNFY</t>
  </si>
  <si>
    <t>GP104-BZ</t>
  </si>
  <si>
    <t>GP104-SZF</t>
  </si>
  <si>
    <t>GP104-BCHFZ</t>
  </si>
  <si>
    <t>GP104-GH</t>
  </si>
  <si>
    <t>第6页共6页</t>
  </si>
  <si>
    <t xml:space="preserve">遂宁市安居区国家储备林建设项目（一期）海龙片区营造林作业设计【GP】      </t>
  </si>
  <si>
    <t xml:space="preserve">GP03002      </t>
  </si>
  <si>
    <t xml:space="preserve">改培模型GP03-2      </t>
  </si>
  <si>
    <t>GP03-2-JF</t>
  </si>
  <si>
    <t>间伐</t>
  </si>
  <si>
    <t>GP03-2-BZ</t>
  </si>
  <si>
    <t>GP03-2-SJF</t>
  </si>
  <si>
    <t>GP03-2-ZF</t>
  </si>
  <si>
    <t>追肥</t>
  </si>
  <si>
    <t>GP03-2-BCHFZ</t>
  </si>
  <si>
    <t>GP03-2-FY</t>
  </si>
  <si>
    <t>GP03-2-FZCS</t>
  </si>
  <si>
    <t>辅助措施</t>
  </si>
  <si>
    <t>GP03-2-GH</t>
  </si>
  <si>
    <t>第1页共8页</t>
  </si>
  <si>
    <t>遂宁市安居区国家储备林项目（一期）（二标段）（营造林建设项目）【GP】</t>
  </si>
  <si>
    <t>计量单位：亩</t>
  </si>
  <si>
    <t>其中：（元）</t>
  </si>
  <si>
    <t>栾树</t>
  </si>
  <si>
    <t>第2页共8页</t>
  </si>
  <si>
    <t>第3页共8页</t>
  </si>
  <si>
    <t xml:space="preserve">GP102  </t>
  </si>
  <si>
    <t>第4页共8页</t>
  </si>
  <si>
    <t>第5页共8页</t>
  </si>
  <si>
    <t xml:space="preserve">GP103     </t>
  </si>
  <si>
    <t xml:space="preserve">改培模型GP103     </t>
  </si>
  <si>
    <t>第6页共8页</t>
  </si>
  <si>
    <t>第7页共8页</t>
  </si>
  <si>
    <t xml:space="preserve">改培模型GP104     </t>
  </si>
  <si>
    <t>第8页共8页</t>
  </si>
  <si>
    <t>第11页共12页</t>
  </si>
  <si>
    <t>标识目标树</t>
  </si>
  <si>
    <t>标识保留幼苗幼树</t>
  </si>
  <si>
    <t>标识采伐木</t>
  </si>
  <si>
    <t>间伐作业</t>
  </si>
  <si>
    <t>造材、打枝</t>
  </si>
  <si>
    <t>集材与归楞</t>
  </si>
  <si>
    <t>清理剩余物</t>
  </si>
  <si>
    <t>清林</t>
  </si>
  <si>
    <t>整地</t>
  </si>
  <si>
    <t>植苗</t>
  </si>
  <si>
    <t>初植量</t>
  </si>
  <si>
    <t>补植量</t>
  </si>
  <si>
    <t>苗木综合单价（含运输及二次搬运）</t>
  </si>
  <si>
    <t>浇定根水用工量</t>
  </si>
  <si>
    <t>有机肥费用</t>
  </si>
  <si>
    <t>第12页共12页</t>
  </si>
  <si>
    <t>基肥用量</t>
  </si>
  <si>
    <t>基肥用工量</t>
  </si>
  <si>
    <t>23</t>
  </si>
  <si>
    <t>追肥用量</t>
  </si>
  <si>
    <t>24</t>
  </si>
  <si>
    <t>追肥次数</t>
  </si>
  <si>
    <t>次</t>
  </si>
  <si>
    <t>25</t>
  </si>
  <si>
    <t>追肥用工量</t>
  </si>
  <si>
    <t>26</t>
  </si>
  <si>
    <t>27</t>
  </si>
  <si>
    <t>农药用量</t>
  </si>
  <si>
    <t>28</t>
  </si>
  <si>
    <t>农药费用</t>
  </si>
  <si>
    <t>29</t>
  </si>
  <si>
    <t>防治次数</t>
  </si>
  <si>
    <t>30</t>
  </si>
  <si>
    <t>施药用工量</t>
  </si>
  <si>
    <t>31</t>
  </si>
  <si>
    <t>32</t>
  </si>
  <si>
    <t>33</t>
  </si>
  <si>
    <t>抚育用工量</t>
  </si>
  <si>
    <t>34</t>
  </si>
  <si>
    <t>抚育浇水</t>
  </si>
  <si>
    <t>35</t>
  </si>
  <si>
    <t>修枝割灌</t>
  </si>
  <si>
    <t>36</t>
  </si>
  <si>
    <t>37</t>
  </si>
  <si>
    <t>支撑架</t>
  </si>
  <si>
    <t>根</t>
  </si>
  <si>
    <t>38</t>
  </si>
  <si>
    <t>39</t>
  </si>
  <si>
    <t>年</t>
  </si>
  <si>
    <t>40</t>
  </si>
  <si>
    <t>一年管护费</t>
  </si>
  <si>
    <t>元/亩.年</t>
  </si>
  <si>
    <t>41</t>
  </si>
  <si>
    <t>管护用工量（兼职）</t>
  </si>
  <si>
    <t>第1页  共4页</t>
  </si>
  <si>
    <t xml:space="preserve">遂宁市安居区国家储备林项目（一期）（二标段）（营造林建设项目）【GP型】      </t>
  </si>
  <si>
    <t xml:space="preserve">改培模型GP101    </t>
  </si>
  <si>
    <t>GP101001001</t>
  </si>
  <si>
    <t>GP101002001</t>
  </si>
  <si>
    <t>GP101003001</t>
  </si>
  <si>
    <t>GP101004001</t>
  </si>
  <si>
    <t>GP101005001</t>
  </si>
  <si>
    <t>GP101006001</t>
  </si>
  <si>
    <t>GP101007001</t>
  </si>
  <si>
    <t>GP101008001</t>
  </si>
  <si>
    <t>第2页  共4页</t>
  </si>
  <si>
    <t xml:space="preserve">GP102     </t>
  </si>
  <si>
    <t xml:space="preserve">改培模型GP102   </t>
  </si>
  <si>
    <t>GP102001001</t>
  </si>
  <si>
    <t>GP102002001</t>
  </si>
  <si>
    <t>GP102003001</t>
  </si>
  <si>
    <t>GP102004001</t>
  </si>
  <si>
    <t>GP102005001</t>
  </si>
  <si>
    <t>GP102006001</t>
  </si>
  <si>
    <t>GP102007001</t>
  </si>
  <si>
    <t>GP102008001</t>
  </si>
  <si>
    <t>第3页  共4页</t>
  </si>
  <si>
    <t xml:space="preserve">GP103   </t>
  </si>
  <si>
    <t xml:space="preserve">改培模型GP103  </t>
  </si>
  <si>
    <t>GP103001001</t>
  </si>
  <si>
    <t>GP103002001</t>
  </si>
  <si>
    <t>GP103003001</t>
  </si>
  <si>
    <t>GP103004001</t>
  </si>
  <si>
    <t>GP103005001</t>
  </si>
  <si>
    <t>GP103006001</t>
  </si>
  <si>
    <t>GP103007001</t>
  </si>
  <si>
    <t>GP103008001</t>
  </si>
  <si>
    <t>第4页  共4页</t>
  </si>
  <si>
    <t xml:space="preserve">GP104  </t>
  </si>
  <si>
    <t xml:space="preserve">改培模型GP104 </t>
  </si>
  <si>
    <t>GP104001001</t>
  </si>
  <si>
    <t>GP104002001</t>
  </si>
  <si>
    <t>GP104003001</t>
  </si>
  <si>
    <t>GP104004001</t>
  </si>
  <si>
    <t>GP104005001</t>
  </si>
  <si>
    <t>GP104006001</t>
  </si>
  <si>
    <t>GP104007001</t>
  </si>
  <si>
    <t>GP104008001</t>
  </si>
  <si>
    <t>工程数量：14832.3</t>
  </si>
  <si>
    <t xml:space="preserve">GP101  </t>
  </si>
  <si>
    <t xml:space="preserve">改培模型GP101        </t>
  </si>
  <si>
    <t xml:space="preserve">遂宁市安居区国家储备林项目（一期）（二标段）（营造林建设项目）作业设计【GP型】      </t>
  </si>
  <si>
    <t xml:space="preserve">GP102    </t>
  </si>
  <si>
    <t xml:space="preserve">改培模型GP102          </t>
  </si>
  <si>
    <t xml:space="preserve">改培模型GP103         </t>
  </si>
  <si>
    <t xml:space="preserve">改培模型GP104       </t>
  </si>
  <si>
    <t xml:space="preserve">GP101   </t>
  </si>
  <si>
    <t xml:space="preserve">改培模型GP102    </t>
  </si>
  <si>
    <t xml:space="preserve">改培模型GP103   </t>
  </si>
  <si>
    <t xml:space="preserve">GP104   </t>
  </si>
  <si>
    <t xml:space="preserve">改培模型GP104    </t>
  </si>
  <si>
    <t>UR000014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</si>
</sst>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0.00_);[Red]\(0.00\)"/>
    <numFmt numFmtId="179" formatCode="[DBNum2][$RMB]General;[Red][DBNum2][$RMB]General"/>
  </numFmts>
  <fonts count="41">
    <font>
      <sz val="11"/>
      <color theme="1"/>
      <name val="宋体"/>
      <charset val="134"/>
      <scheme val="minor"/>
    </font>
    <font>
      <b/>
      <sz val="16"/>
      <color indexed="0"/>
      <name val="宋体"/>
      <charset val="134"/>
    </font>
    <font>
      <sz val="10"/>
      <color indexed="0"/>
      <name val="宋体"/>
      <charset val="134"/>
    </font>
    <font>
      <sz val="10"/>
      <name val="宋体"/>
      <charset val="134"/>
    </font>
    <font>
      <sz val="9"/>
      <color indexed="0"/>
      <name val="宋体"/>
      <charset val="134"/>
    </font>
    <font>
      <sz val="10"/>
      <color rgb="FFFF0000"/>
      <name val="宋体"/>
      <charset val="134"/>
    </font>
    <font>
      <b/>
      <sz val="14"/>
      <color indexed="0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indexed="0"/>
      <name val="宋体"/>
      <charset val="134"/>
    </font>
    <font>
      <sz val="10"/>
      <color rgb="FF000000"/>
      <name val="宋体"/>
      <charset val="134"/>
    </font>
    <font>
      <sz val="12"/>
      <color indexed="8"/>
      <name val="宋体"/>
      <charset val="134"/>
    </font>
    <font>
      <sz val="22"/>
      <color indexed="0"/>
      <name val="宋体"/>
      <charset val="134"/>
    </font>
    <font>
      <sz val="16"/>
      <color indexed="0"/>
      <name val="宋体"/>
      <charset val="134"/>
    </font>
    <font>
      <b/>
      <sz val="24"/>
      <color indexed="0"/>
      <name val="宋体"/>
      <charset val="134"/>
    </font>
    <font>
      <b/>
      <sz val="12"/>
      <color indexed="0"/>
      <name val="宋体"/>
      <charset val="134"/>
    </font>
    <font>
      <sz val="12"/>
      <color indexed="0"/>
      <name val="宋体"/>
      <charset val="134"/>
    </font>
    <font>
      <sz val="12"/>
      <color rgb="FF000000"/>
      <name val="宋体"/>
      <charset val="134"/>
    </font>
    <font>
      <b/>
      <sz val="10"/>
      <color indexed="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7" applyNumberFormat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2" fillId="5" borderId="17" applyNumberFormat="0" applyAlignment="0" applyProtection="0">
      <alignment vertical="center"/>
    </xf>
    <xf numFmtId="0" fontId="33" fillId="6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</cellStyleXfs>
  <cellXfs count="14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0" fillId="0" borderId="2" xfId="0" applyBorder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right" vertical="center" wrapText="1"/>
    </xf>
    <xf numFmtId="0" fontId="1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right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right"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0" xfId="0" applyAlignment="1"/>
    <xf numFmtId="0" fontId="2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vertical="top" wrapText="1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0" fontId="2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top" wrapText="1"/>
    </xf>
    <xf numFmtId="0" fontId="2" fillId="0" borderId="3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right" vertical="center" wrapText="1"/>
    </xf>
    <xf numFmtId="2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4" fillId="0" borderId="0" xfId="0" applyFont="1" applyFill="1" applyAlignment="1">
      <alignment horizontal="center" vertical="top" wrapText="1"/>
    </xf>
    <xf numFmtId="0" fontId="6" fillId="0" borderId="0" xfId="0" applyFont="1" applyFill="1" applyAlignment="1">
      <alignment horizontal="center" vertical="top" wrapText="1"/>
    </xf>
    <xf numFmtId="0" fontId="4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top" wrapText="1"/>
    </xf>
    <xf numFmtId="0" fontId="6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0" fillId="2" borderId="0" xfId="0" applyFill="1" applyAlignment="1"/>
    <xf numFmtId="0" fontId="4" fillId="2" borderId="0" xfId="0" applyFont="1" applyFill="1" applyAlignment="1">
      <alignment horizontal="right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right" vertical="top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righ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right" vertical="top" wrapText="1"/>
    </xf>
    <xf numFmtId="0" fontId="4" fillId="2" borderId="2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2" fillId="0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2" fontId="0" fillId="0" borderId="2" xfId="0" applyNumberFormat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2" fontId="8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Border="1">
      <alignment vertical="center"/>
    </xf>
    <xf numFmtId="0" fontId="6" fillId="0" borderId="0" xfId="0" applyFont="1" applyFill="1" applyAlignment="1">
      <alignment horizontal="center" vertical="center" wrapText="1"/>
    </xf>
    <xf numFmtId="58" fontId="4" fillId="0" borderId="2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/>
    </xf>
    <xf numFmtId="178" fontId="4" fillId="0" borderId="2" xfId="0" applyNumberFormat="1" applyFont="1" applyFill="1" applyBorder="1" applyAlignment="1">
      <alignment horizontal="righ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right" vertical="center" wrapText="1"/>
    </xf>
    <xf numFmtId="2" fontId="0" fillId="0" borderId="2" xfId="0" applyNumberFormat="1" applyBorder="1">
      <alignment vertical="center"/>
    </xf>
    <xf numFmtId="0" fontId="0" fillId="0" borderId="2" xfId="0" applyFill="1" applyBorder="1">
      <alignment vertical="center"/>
    </xf>
    <xf numFmtId="177" fontId="7" fillId="0" borderId="2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top" wrapText="1"/>
    </xf>
    <xf numFmtId="0" fontId="0" fillId="0" borderId="0" xfId="0" applyAlignment="1">
      <alignment horizontal="center" vertical="center"/>
    </xf>
    <xf numFmtId="2" fontId="0" fillId="0" borderId="0" xfId="0" applyNumberFormat="1">
      <alignment vertical="center"/>
    </xf>
    <xf numFmtId="2" fontId="9" fillId="0" borderId="2" xfId="0" applyNumberFormat="1" applyFont="1" applyFill="1" applyBorder="1" applyAlignment="1">
      <alignment horizontal="center" vertical="center"/>
    </xf>
    <xf numFmtId="2" fontId="9" fillId="0" borderId="2" xfId="0" applyNumberFormat="1" applyFont="1" applyBorder="1">
      <alignment vertical="center"/>
    </xf>
    <xf numFmtId="177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right" vertical="center" wrapText="1"/>
    </xf>
    <xf numFmtId="0" fontId="12" fillId="0" borderId="0" xfId="0" applyFont="1" applyFill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1" fontId="2" fillId="0" borderId="2" xfId="0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top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/>
    <xf numFmtId="0" fontId="15" fillId="0" borderId="0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right" wrapText="1"/>
    </xf>
    <xf numFmtId="0" fontId="19" fillId="0" borderId="1" xfId="0" applyFont="1" applyFill="1" applyBorder="1" applyAlignment="1">
      <alignment horizontal="center" wrapText="1"/>
    </xf>
    <xf numFmtId="0" fontId="19" fillId="0" borderId="0" xfId="0" applyFont="1" applyFill="1" applyBorder="1" applyAlignment="1">
      <alignment horizontal="center" wrapText="1"/>
    </xf>
    <xf numFmtId="179" fontId="20" fillId="0" borderId="1" xfId="0" applyNumberFormat="1" applyFont="1" applyFill="1" applyBorder="1" applyAlignment="1">
      <alignment horizontal="center" wrapText="1"/>
    </xf>
    <xf numFmtId="179" fontId="19" fillId="0" borderId="1" xfId="0" applyNumberFormat="1" applyFont="1" applyFill="1" applyBorder="1" applyAlignment="1">
      <alignment horizontal="center" wrapText="1"/>
    </xf>
    <xf numFmtId="0" fontId="19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right" wrapText="1"/>
    </xf>
    <xf numFmtId="0" fontId="19" fillId="0" borderId="0" xfId="0" applyFont="1" applyFill="1" applyBorder="1" applyAlignment="1">
      <alignment horizontal="righ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0" Type="http://schemas.openxmlformats.org/officeDocument/2006/relationships/styles" Target="styles.xml"/><Relationship Id="rId4" Type="http://schemas.openxmlformats.org/officeDocument/2006/relationships/worksheet" Target="worksheets/sheet4.xml"/><Relationship Id="rId39" Type="http://schemas.openxmlformats.org/officeDocument/2006/relationships/sharedStrings" Target="sharedStrings.xml"/><Relationship Id="rId38" Type="http://schemas.openxmlformats.org/officeDocument/2006/relationships/theme" Target="theme/theme1.xml"/><Relationship Id="rId37" Type="http://schemas.openxmlformats.org/officeDocument/2006/relationships/externalLink" Target="externalLinks/externalLink1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433;&#23621;&#21306;&#20648;&#22791;&#26519;&#35774;&#35745;&#38468;&#34920;20240730&#2591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表A-1各类面积 "/>
      <sheetName val="附表A-2各类蓄积"/>
      <sheetName val="附表A-3建设任务按行政区划统计表"/>
      <sheetName val="附表A-4需苗量统计表"/>
      <sheetName val="附表A-5营造林工程直接费汇总表"/>
      <sheetName val="附表A-6辅助材料及用工量统计表"/>
      <sheetName val="附表B-1立地类型划分表"/>
      <sheetName val="附表B-2集约人工栽培类型设计表"/>
      <sheetName val="B-3现有林改培、中幼林抚育模型表"/>
      <sheetName val="附表C-1营林建设地块一览表"/>
      <sheetName val="附表C-2营造林技术经济指标表"/>
      <sheetName val="附表C-3集约人工栽培地块设计表"/>
      <sheetName val="附表C-4现有林分改培及抚育设计表"/>
      <sheetName val="附表C-5营造林工程量表"/>
      <sheetName val="附表C-6营造林工程投资概算"/>
      <sheetName val="附表D-1地块现状调查表"/>
      <sheetName val="附表D-2标准地调查表"/>
      <sheetName val="附表D-2标准地调查表 (2)"/>
      <sheetName val="附表D-3地块设计表"/>
      <sheetName val="附表D-4地块采伐径级统计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5">
          <cell r="N5">
            <v>34539.91</v>
          </cell>
        </row>
        <row r="6">
          <cell r="N6">
            <v>134</v>
          </cell>
        </row>
        <row r="7">
          <cell r="N7">
            <v>231</v>
          </cell>
        </row>
        <row r="8">
          <cell r="N8">
            <v>0.59</v>
          </cell>
        </row>
        <row r="9">
          <cell r="N9">
            <v>0.22</v>
          </cell>
        </row>
        <row r="10">
          <cell r="N10">
            <v>0.91</v>
          </cell>
        </row>
        <row r="11">
          <cell r="N11">
            <v>2.5</v>
          </cell>
        </row>
        <row r="12">
          <cell r="N12">
            <v>1</v>
          </cell>
        </row>
        <row r="13">
          <cell r="N13">
            <v>2</v>
          </cell>
        </row>
        <row r="14">
          <cell r="N14">
            <v>0.9</v>
          </cell>
        </row>
        <row r="15">
          <cell r="N15">
            <v>1254.92</v>
          </cell>
        </row>
        <row r="16">
          <cell r="N16">
            <v>16</v>
          </cell>
        </row>
        <row r="17">
          <cell r="N17">
            <v>3</v>
          </cell>
        </row>
        <row r="20">
          <cell r="N20">
            <v>12223.5</v>
          </cell>
        </row>
        <row r="82">
          <cell r="N82">
            <v>0.112</v>
          </cell>
        </row>
        <row r="84">
          <cell r="N84">
            <v>635.04</v>
          </cell>
        </row>
        <row r="91">
          <cell r="N91">
            <v>0.668</v>
          </cell>
        </row>
        <row r="93">
          <cell r="N93">
            <v>3012.68</v>
          </cell>
        </row>
        <row r="115">
          <cell r="N115">
            <v>6.93</v>
          </cell>
        </row>
        <row r="116">
          <cell r="N116">
            <v>928.62</v>
          </cell>
        </row>
        <row r="117">
          <cell r="N117">
            <v>12.2</v>
          </cell>
        </row>
        <row r="118">
          <cell r="N118">
            <v>1634.8</v>
          </cell>
        </row>
        <row r="119">
          <cell r="N119">
            <v>3.41</v>
          </cell>
        </row>
        <row r="120">
          <cell r="N120">
            <v>456.94</v>
          </cell>
        </row>
        <row r="121">
          <cell r="N121">
            <v>6.47</v>
          </cell>
        </row>
        <row r="122">
          <cell r="N122">
            <v>866.98</v>
          </cell>
        </row>
        <row r="123">
          <cell r="N123">
            <v>16.83</v>
          </cell>
        </row>
        <row r="124">
          <cell r="N124">
            <v>2255.22</v>
          </cell>
        </row>
        <row r="125">
          <cell r="N125">
            <v>1.68</v>
          </cell>
        </row>
        <row r="126">
          <cell r="N126">
            <v>225.12</v>
          </cell>
        </row>
        <row r="127">
          <cell r="N127">
            <v>29.1</v>
          </cell>
        </row>
        <row r="128">
          <cell r="N128">
            <v>3899.4</v>
          </cell>
        </row>
        <row r="135">
          <cell r="N135">
            <v>19.4</v>
          </cell>
        </row>
        <row r="136">
          <cell r="N136">
            <v>2599.6</v>
          </cell>
        </row>
        <row r="137">
          <cell r="N137">
            <v>10.23</v>
          </cell>
        </row>
        <row r="138">
          <cell r="N138">
            <v>1370.82</v>
          </cell>
        </row>
        <row r="139">
          <cell r="N139">
            <v>2.4</v>
          </cell>
        </row>
        <row r="140">
          <cell r="N140">
            <v>321.6</v>
          </cell>
        </row>
        <row r="141">
          <cell r="N141">
            <v>6.12</v>
          </cell>
        </row>
        <row r="142">
          <cell r="N142">
            <v>820.08</v>
          </cell>
        </row>
        <row r="143">
          <cell r="N143">
            <v>0.24</v>
          </cell>
        </row>
        <row r="144">
          <cell r="N144">
            <v>32.16</v>
          </cell>
        </row>
        <row r="156">
          <cell r="N156">
            <v>15.27</v>
          </cell>
        </row>
        <row r="158">
          <cell r="N158">
            <v>355.79</v>
          </cell>
        </row>
        <row r="159">
          <cell r="N159">
            <v>48</v>
          </cell>
        </row>
        <row r="161">
          <cell r="N161">
            <v>480</v>
          </cell>
        </row>
      </sheetData>
      <sheetData sheetId="11" refreshError="1"/>
      <sheetData sheetId="12" refreshError="1"/>
      <sheetData sheetId="13" refreshError="1"/>
      <sheetData sheetId="14" refreshError="1">
        <row r="17">
          <cell r="D17">
            <v>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13"/>
  <sheetViews>
    <sheetView tabSelected="1" workbookViewId="0">
      <selection activeCell="J6" sqref="J6"/>
    </sheetView>
  </sheetViews>
  <sheetFormatPr defaultColWidth="9" defaultRowHeight="15.6" outlineLevelCol="7"/>
  <cols>
    <col min="1" max="1" width="16" style="127"/>
    <col min="2" max="2" width="4.62962962962963" style="127"/>
    <col min="3" max="3" width="12.5" style="127"/>
    <col min="4" max="4" width="24" style="127"/>
    <col min="5" max="5" width="19.6296296296296" style="127"/>
    <col min="6" max="6" width="23" style="127"/>
    <col min="7" max="7" width="4.75" style="127"/>
    <col min="8" max="8" width="13.25" style="127"/>
    <col min="9" max="16384" width="9" style="127"/>
  </cols>
  <sheetData>
    <row r="1" ht="42" customHeight="1" spans="1:8">
      <c r="A1" s="128" t="s">
        <v>0</v>
      </c>
      <c r="B1" s="129" t="s">
        <v>1</v>
      </c>
      <c r="C1" s="129" t="s">
        <v>0</v>
      </c>
      <c r="D1" s="129" t="s">
        <v>0</v>
      </c>
      <c r="E1" s="129" t="s">
        <v>0</v>
      </c>
      <c r="F1" s="129" t="s">
        <v>0</v>
      </c>
      <c r="G1" s="130" t="s">
        <v>2</v>
      </c>
      <c r="H1" s="130" t="s">
        <v>0</v>
      </c>
    </row>
    <row r="2" ht="39" customHeight="1" spans="1:8">
      <c r="A2" s="131" t="s">
        <v>3</v>
      </c>
      <c r="B2" s="131" t="s">
        <v>0</v>
      </c>
      <c r="C2" s="131" t="s">
        <v>0</v>
      </c>
      <c r="D2" s="131" t="s">
        <v>0</v>
      </c>
      <c r="E2" s="131" t="s">
        <v>0</v>
      </c>
      <c r="F2" s="131" t="s">
        <v>0</v>
      </c>
      <c r="G2" s="131" t="s">
        <v>0</v>
      </c>
      <c r="H2" s="131" t="s">
        <v>0</v>
      </c>
    </row>
    <row r="3" ht="46.5" customHeight="1" spans="1:8">
      <c r="A3" s="132" t="s">
        <v>4</v>
      </c>
      <c r="B3" s="132" t="s">
        <v>0</v>
      </c>
      <c r="C3" s="132" t="s">
        <v>0</v>
      </c>
      <c r="D3" s="133">
        <f>'C1 工程项目投标总价表'!E15</f>
        <v>7520474.88404</v>
      </c>
      <c r="E3" s="133" t="s">
        <v>0</v>
      </c>
      <c r="F3" s="133" t="s">
        <v>0</v>
      </c>
      <c r="G3" s="133" t="s">
        <v>0</v>
      </c>
      <c r="H3" s="134" t="s">
        <v>0</v>
      </c>
    </row>
    <row r="4" ht="18.75" customHeight="1" spans="1:8">
      <c r="A4" s="132" t="s">
        <v>5</v>
      </c>
      <c r="B4" s="132" t="s">
        <v>0</v>
      </c>
      <c r="C4" s="132" t="s">
        <v>0</v>
      </c>
      <c r="D4" s="135">
        <f>IF(D3,D3,"")</f>
        <v>7520474.88404</v>
      </c>
      <c r="E4" s="136"/>
      <c r="F4" s="136" t="s">
        <v>0</v>
      </c>
      <c r="G4" s="136" t="s">
        <v>0</v>
      </c>
      <c r="H4" s="137" t="s">
        <v>0</v>
      </c>
    </row>
    <row r="5" ht="16.5" customHeight="1" spans="1:8">
      <c r="A5" s="132" t="s">
        <v>0</v>
      </c>
      <c r="B5" s="132" t="s">
        <v>0</v>
      </c>
      <c r="C5" s="132" t="s">
        <v>0</v>
      </c>
      <c r="D5" s="136"/>
      <c r="E5" s="136" t="s">
        <v>0</v>
      </c>
      <c r="F5" s="136" t="s">
        <v>0</v>
      </c>
      <c r="G5" s="136" t="s">
        <v>0</v>
      </c>
      <c r="H5" s="137" t="s">
        <v>0</v>
      </c>
    </row>
    <row r="6" ht="54.75" customHeight="1" spans="1:8">
      <c r="A6" s="132" t="s">
        <v>6</v>
      </c>
      <c r="B6" s="132" t="s">
        <v>0</v>
      </c>
      <c r="C6" s="133" t="s">
        <v>7</v>
      </c>
      <c r="D6" s="133"/>
      <c r="E6" s="132" t="s">
        <v>8</v>
      </c>
      <c r="F6" s="133" t="s">
        <v>9</v>
      </c>
      <c r="G6" s="133" t="s">
        <v>0</v>
      </c>
      <c r="H6" s="133" t="s">
        <v>0</v>
      </c>
    </row>
    <row r="7" ht="22.5" customHeight="1" spans="1:8">
      <c r="A7" s="132" t="s">
        <v>0</v>
      </c>
      <c r="B7" s="132" t="s">
        <v>0</v>
      </c>
      <c r="C7" s="138" t="s">
        <v>10</v>
      </c>
      <c r="D7" s="138" t="s">
        <v>0</v>
      </c>
      <c r="E7" s="139" t="s">
        <v>0</v>
      </c>
      <c r="F7" s="138" t="s">
        <v>10</v>
      </c>
      <c r="G7" s="138" t="s">
        <v>0</v>
      </c>
      <c r="H7" s="138" t="s">
        <v>0</v>
      </c>
    </row>
    <row r="8" ht="60" customHeight="1" spans="1:8">
      <c r="A8" s="132" t="s">
        <v>11</v>
      </c>
      <c r="B8" s="132" t="s">
        <v>0</v>
      </c>
      <c r="C8" s="133" t="s">
        <v>9</v>
      </c>
      <c r="D8" s="133" t="s">
        <v>0</v>
      </c>
      <c r="E8" s="132" t="s">
        <v>11</v>
      </c>
      <c r="F8" s="133" t="s">
        <v>9</v>
      </c>
      <c r="G8" s="133" t="s">
        <v>0</v>
      </c>
      <c r="H8" s="133" t="s">
        <v>0</v>
      </c>
    </row>
    <row r="9" ht="22.5" customHeight="1" spans="1:8">
      <c r="A9" s="132" t="s">
        <v>12</v>
      </c>
      <c r="B9" s="132" t="s">
        <v>0</v>
      </c>
      <c r="C9" s="138" t="s">
        <v>13</v>
      </c>
      <c r="D9" s="138" t="s">
        <v>0</v>
      </c>
      <c r="E9" s="139" t="s">
        <v>0</v>
      </c>
      <c r="F9" s="138" t="s">
        <v>13</v>
      </c>
      <c r="G9" s="138" t="s">
        <v>0</v>
      </c>
      <c r="H9" s="138" t="s">
        <v>0</v>
      </c>
    </row>
    <row r="10" ht="52.5" customHeight="1" spans="1:8">
      <c r="A10" s="132" t="s">
        <v>14</v>
      </c>
      <c r="B10" s="132" t="s">
        <v>0</v>
      </c>
      <c r="C10" s="133" t="s">
        <v>15</v>
      </c>
      <c r="D10" s="133" t="s">
        <v>0</v>
      </c>
      <c r="E10" s="132" t="s">
        <v>16</v>
      </c>
      <c r="F10" s="133" t="s">
        <v>17</v>
      </c>
      <c r="G10" s="133" t="s">
        <v>0</v>
      </c>
      <c r="H10" s="133" t="s">
        <v>0</v>
      </c>
    </row>
    <row r="11" ht="21" customHeight="1" spans="1:8">
      <c r="A11" s="132" t="s">
        <v>0</v>
      </c>
      <c r="B11" s="132" t="s">
        <v>0</v>
      </c>
      <c r="C11" s="138" t="s">
        <v>18</v>
      </c>
      <c r="D11" s="138" t="s">
        <v>0</v>
      </c>
      <c r="E11" s="139" t="s">
        <v>0</v>
      </c>
      <c r="F11" s="138" t="s">
        <v>19</v>
      </c>
      <c r="G11" s="138" t="s">
        <v>0</v>
      </c>
      <c r="H11" s="138" t="s">
        <v>0</v>
      </c>
    </row>
    <row r="12" ht="30.75" customHeight="1" spans="1:8">
      <c r="A12" s="132" t="s">
        <v>20</v>
      </c>
      <c r="B12" s="132" t="s">
        <v>0</v>
      </c>
      <c r="C12" s="137" t="s">
        <v>9</v>
      </c>
      <c r="D12" s="137" t="s">
        <v>0</v>
      </c>
      <c r="E12" s="132" t="s">
        <v>21</v>
      </c>
      <c r="F12" s="137" t="s">
        <v>9</v>
      </c>
      <c r="G12" s="137" t="s">
        <v>0</v>
      </c>
      <c r="H12" s="137" t="s">
        <v>0</v>
      </c>
    </row>
    <row r="13" ht="24.75" customHeight="1" spans="1:8">
      <c r="A13" s="140" t="s">
        <v>22</v>
      </c>
      <c r="B13" s="140" t="s">
        <v>0</v>
      </c>
      <c r="C13" s="140" t="s">
        <v>0</v>
      </c>
      <c r="D13" s="140" t="s">
        <v>0</v>
      </c>
      <c r="E13" s="140" t="s">
        <v>0</v>
      </c>
      <c r="F13" s="140" t="s">
        <v>0</v>
      </c>
      <c r="G13" s="140" t="s">
        <v>0</v>
      </c>
      <c r="H13" s="140" t="s">
        <v>0</v>
      </c>
    </row>
  </sheetData>
  <mergeCells count="30">
    <mergeCell ref="B1:F1"/>
    <mergeCell ref="G1:H1"/>
    <mergeCell ref="A2:H2"/>
    <mergeCell ref="A3:C3"/>
    <mergeCell ref="D3:G3"/>
    <mergeCell ref="A6:B6"/>
    <mergeCell ref="C6:D6"/>
    <mergeCell ref="F6:H6"/>
    <mergeCell ref="A7:B7"/>
    <mergeCell ref="C7:D7"/>
    <mergeCell ref="F7:H7"/>
    <mergeCell ref="A8:B8"/>
    <mergeCell ref="C8:D8"/>
    <mergeCell ref="F8:H8"/>
    <mergeCell ref="A9:B9"/>
    <mergeCell ref="C9:D9"/>
    <mergeCell ref="F9:H9"/>
    <mergeCell ref="A10:B10"/>
    <mergeCell ref="C10:D10"/>
    <mergeCell ref="F10:H10"/>
    <mergeCell ref="A11:B11"/>
    <mergeCell ref="C11:D11"/>
    <mergeCell ref="F11:H11"/>
    <mergeCell ref="A12:B12"/>
    <mergeCell ref="C12:D12"/>
    <mergeCell ref="F12:H12"/>
    <mergeCell ref="A13:H13"/>
    <mergeCell ref="H4:H5"/>
    <mergeCell ref="A4:C5"/>
    <mergeCell ref="D4:G5"/>
  </mergeCells>
  <pageMargins left="0.78740157480315" right="0.984251968503937" top="0.78740157480315" bottom="0.78740157480315" header="0" footer="0"/>
  <pageSetup paperSize="9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F13"/>
  <sheetViews>
    <sheetView view="pageBreakPreview" zoomScaleNormal="100" workbookViewId="0">
      <selection activeCell="B3" sqref="B3:C4"/>
    </sheetView>
  </sheetViews>
  <sheetFormatPr defaultColWidth="9" defaultRowHeight="14.4" outlineLevelCol="5"/>
  <cols>
    <col min="1" max="1" width="12.8796296296296" customWidth="1"/>
    <col min="3" max="5" width="17" customWidth="1"/>
    <col min="6" max="6" width="17.8148148148148" customWidth="1"/>
  </cols>
  <sheetData>
    <row r="1" ht="30" customHeight="1" spans="1:6">
      <c r="A1" s="10" t="s">
        <v>45</v>
      </c>
      <c r="B1" s="10" t="s">
        <v>0</v>
      </c>
      <c r="C1" s="10" t="s">
        <v>0</v>
      </c>
      <c r="D1" s="10" t="s">
        <v>0</v>
      </c>
      <c r="E1" s="10" t="s">
        <v>0</v>
      </c>
      <c r="F1" s="10" t="s">
        <v>0</v>
      </c>
    </row>
    <row r="2" ht="30.6" customHeight="1" spans="1:6">
      <c r="A2" s="74" t="s">
        <v>24</v>
      </c>
      <c r="B2" s="2" t="s">
        <v>90</v>
      </c>
      <c r="C2" s="2"/>
      <c r="D2" s="2"/>
      <c r="E2" s="2"/>
      <c r="F2" s="9" t="s">
        <v>47</v>
      </c>
    </row>
    <row r="3" ht="26.4" customHeight="1" spans="1:6">
      <c r="A3" s="3" t="s">
        <v>48</v>
      </c>
      <c r="B3" s="3" t="s">
        <v>49</v>
      </c>
      <c r="C3" s="3" t="s">
        <v>0</v>
      </c>
      <c r="D3" s="3" t="s">
        <v>50</v>
      </c>
      <c r="E3" s="3" t="s">
        <v>51</v>
      </c>
      <c r="F3" s="3" t="s">
        <v>0</v>
      </c>
    </row>
    <row r="4" ht="26.4" customHeight="1" spans="1:6">
      <c r="A4" s="3" t="s">
        <v>0</v>
      </c>
      <c r="B4" s="3" t="s">
        <v>0</v>
      </c>
      <c r="C4" s="3" t="s">
        <v>0</v>
      </c>
      <c r="D4" s="3" t="s">
        <v>0</v>
      </c>
      <c r="E4" s="3" t="s">
        <v>52</v>
      </c>
      <c r="F4" s="3" t="s">
        <v>39</v>
      </c>
    </row>
    <row r="5" ht="25.95" customHeight="1" spans="1:6">
      <c r="A5" s="3" t="s">
        <v>53</v>
      </c>
      <c r="B5" s="114" t="s">
        <v>91</v>
      </c>
      <c r="C5" s="115"/>
      <c r="D5" s="116">
        <f>'C1-3单位工程预算汇总表-GP型'!C19</f>
        <v>0</v>
      </c>
      <c r="E5" s="3">
        <f>'C1-3单位工程预算汇总表-GP型'!C6</f>
        <v>0</v>
      </c>
      <c r="F5" s="3">
        <f>'C1-3单位工程预算汇总表-GP型'!C12</f>
        <v>0</v>
      </c>
    </row>
    <row r="6" ht="25.95" customHeight="1" spans="1:6">
      <c r="A6" s="3" t="s">
        <v>60</v>
      </c>
      <c r="B6" s="114" t="s">
        <v>92</v>
      </c>
      <c r="C6" s="115" t="s">
        <v>93</v>
      </c>
      <c r="D6" s="116">
        <f>'C1-3单位工程预算汇总表-GP型'!C38</f>
        <v>0</v>
      </c>
      <c r="E6" s="3">
        <f>'C1-3单位工程预算汇总表-GP型'!C25</f>
        <v>0</v>
      </c>
      <c r="F6" s="3">
        <f>'C1-3单位工程预算汇总表-GP型'!C31</f>
        <v>0</v>
      </c>
    </row>
    <row r="7" ht="25.95" customHeight="1" spans="1:6">
      <c r="A7" s="3" t="s">
        <v>64</v>
      </c>
      <c r="B7" s="114" t="s">
        <v>94</v>
      </c>
      <c r="C7" s="115" t="s">
        <v>95</v>
      </c>
      <c r="D7" s="116">
        <f>'C1-3单位工程预算汇总表-GP型'!C57</f>
        <v>7091388.11604</v>
      </c>
      <c r="E7" s="3">
        <f>'C1-3单位工程预算汇总表-GP型'!C44</f>
        <v>85392.232</v>
      </c>
      <c r="F7" s="3">
        <f>'C1-3单位工程预算汇总表-GP型'!C50</f>
        <v>157972.64</v>
      </c>
    </row>
    <row r="8" ht="25.95" customHeight="1" spans="1:6">
      <c r="A8" s="3" t="s">
        <v>74</v>
      </c>
      <c r="B8" s="114" t="s">
        <v>96</v>
      </c>
      <c r="C8" s="115" t="s">
        <v>97</v>
      </c>
      <c r="D8" s="3">
        <f>'C1-3单位工程预算汇总表-GP型'!C76</f>
        <v>0</v>
      </c>
      <c r="E8" s="3">
        <f>'C1-3单位工程预算汇总表-GP型'!C63</f>
        <v>0</v>
      </c>
      <c r="F8" s="3">
        <f>'C1-3单位工程预算汇总表-GP型'!C69</f>
        <v>0</v>
      </c>
    </row>
    <row r="9" ht="25.95" customHeight="1" spans="1:6">
      <c r="A9" s="3"/>
      <c r="B9" s="114"/>
      <c r="C9" s="115"/>
      <c r="D9" s="3"/>
      <c r="E9" s="3"/>
      <c r="F9" s="3"/>
    </row>
    <row r="10" ht="25.95" customHeight="1" spans="1:6">
      <c r="A10" s="3" t="s">
        <v>0</v>
      </c>
      <c r="B10" s="8" t="s">
        <v>0</v>
      </c>
      <c r="C10" s="8" t="s">
        <v>0</v>
      </c>
      <c r="D10" s="3" t="s">
        <v>0</v>
      </c>
      <c r="E10" s="3" t="s">
        <v>0</v>
      </c>
      <c r="F10" s="3" t="s">
        <v>0</v>
      </c>
    </row>
    <row r="11" ht="25.95" customHeight="1" spans="1:6">
      <c r="A11" s="3" t="s">
        <v>0</v>
      </c>
      <c r="B11" s="8" t="s">
        <v>0</v>
      </c>
      <c r="C11" s="8" t="s">
        <v>0</v>
      </c>
      <c r="D11" s="3" t="s">
        <v>0</v>
      </c>
      <c r="E11" s="3" t="s">
        <v>0</v>
      </c>
      <c r="F11" s="3" t="s">
        <v>0</v>
      </c>
    </row>
    <row r="12" ht="25.95" customHeight="1" spans="1:6">
      <c r="A12" s="3" t="s">
        <v>0</v>
      </c>
      <c r="B12" s="8" t="s">
        <v>0</v>
      </c>
      <c r="C12" s="8" t="s">
        <v>0</v>
      </c>
      <c r="D12" s="3" t="s">
        <v>0</v>
      </c>
      <c r="E12" s="3" t="s">
        <v>0</v>
      </c>
      <c r="F12" s="3" t="s">
        <v>0</v>
      </c>
    </row>
    <row r="13" ht="25.95" customHeight="1" spans="1:6">
      <c r="A13" s="3" t="s">
        <v>55</v>
      </c>
      <c r="B13" s="3" t="s">
        <v>0</v>
      </c>
      <c r="C13" s="3" t="s">
        <v>0</v>
      </c>
      <c r="D13" s="3">
        <f>SUM(D5:D12)</f>
        <v>7091388.11604</v>
      </c>
      <c r="E13" s="3">
        <f>SUM(E5:E12)</f>
        <v>85392.232</v>
      </c>
      <c r="F13" s="3">
        <f>SUM(F5:F12)</f>
        <v>157972.64</v>
      </c>
    </row>
  </sheetData>
  <mergeCells count="15">
    <mergeCell ref="A1:F1"/>
    <mergeCell ref="B2:E2"/>
    <mergeCell ref="E3:F3"/>
    <mergeCell ref="B5:C5"/>
    <mergeCell ref="B6:C6"/>
    <mergeCell ref="B7:C7"/>
    <mergeCell ref="B8:C8"/>
    <mergeCell ref="B9:C9"/>
    <mergeCell ref="B10:C10"/>
    <mergeCell ref="B11:C11"/>
    <mergeCell ref="B12:C12"/>
    <mergeCell ref="A13:C13"/>
    <mergeCell ref="A3:A4"/>
    <mergeCell ref="D3:D4"/>
    <mergeCell ref="B3:C4"/>
  </mergeCells>
  <pageMargins left="1.37777777777778" right="1.14166666666667" top="0.748031496062992" bottom="0.748031496062992" header="0.31496062992126" footer="0.31496062992126"/>
  <pageSetup paperSize="9" scale="13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D19"/>
  <sheetViews>
    <sheetView showZeros="0" view="pageBreakPreview" zoomScaleNormal="100" workbookViewId="0">
      <selection activeCell="B3" sqref="B3"/>
    </sheetView>
  </sheetViews>
  <sheetFormatPr defaultColWidth="9" defaultRowHeight="14.4" outlineLevelCol="3"/>
  <cols>
    <col min="1" max="1" width="11.2222222222222" customWidth="1"/>
    <col min="2" max="2" width="44" customWidth="1"/>
    <col min="3" max="3" width="18.212962962963" customWidth="1"/>
    <col min="4" max="4" width="18.1111111111111" customWidth="1"/>
  </cols>
  <sheetData>
    <row r="1" ht="29.4" customHeight="1" spans="1:4">
      <c r="A1" s="10" t="s">
        <v>45</v>
      </c>
      <c r="B1" s="10" t="s">
        <v>0</v>
      </c>
      <c r="C1" s="10" t="s">
        <v>0</v>
      </c>
      <c r="D1" s="10" t="s">
        <v>0</v>
      </c>
    </row>
    <row r="2" ht="33" customHeight="1" spans="1:4">
      <c r="A2" s="74" t="s">
        <v>24</v>
      </c>
      <c r="B2" s="23" t="s">
        <v>90</v>
      </c>
      <c r="C2" s="23"/>
      <c r="D2" s="9" t="s">
        <v>47</v>
      </c>
    </row>
    <row r="3" spans="1:4">
      <c r="A3" s="3" t="s">
        <v>32</v>
      </c>
      <c r="B3" s="3" t="s">
        <v>56</v>
      </c>
      <c r="C3" s="3" t="s">
        <v>57</v>
      </c>
      <c r="D3" s="3" t="s">
        <v>58</v>
      </c>
    </row>
    <row r="4" spans="1:4">
      <c r="A4" s="3" t="s">
        <v>53</v>
      </c>
      <c r="B4" s="8" t="s">
        <v>59</v>
      </c>
      <c r="C4" s="15">
        <f>'C1-3单位工程预算汇总表-GP型'!C4+'C1-3单位工程预算汇总表-GP型'!C23+'C1-3单位工程预算汇总表-GP型'!C42+'C1-3单位工程预算汇总表-GP型'!C61+'C1-3单位工程预算汇总表-GP型'!C81</f>
        <v>6262495.78404</v>
      </c>
      <c r="D4" s="18" t="s">
        <v>9</v>
      </c>
    </row>
    <row r="5" spans="1:4">
      <c r="A5" s="3" t="s">
        <v>60</v>
      </c>
      <c r="B5" s="8" t="s">
        <v>61</v>
      </c>
      <c r="C5" s="15">
        <f>'C1-3单位工程预算汇总表-GP型'!C5+'C1-3单位工程预算汇总表-GP型'!C24+'C1-3单位工程预算汇总表-GP型'!C43+'C1-3单位工程预算汇总表-GP型'!C62+'C1-3单位工程预算汇总表-GP型'!C82</f>
        <v>85392.232</v>
      </c>
      <c r="D5" s="3" t="s">
        <v>43</v>
      </c>
    </row>
    <row r="6" spans="1:4">
      <c r="A6" s="3" t="s">
        <v>62</v>
      </c>
      <c r="B6" s="8" t="s">
        <v>63</v>
      </c>
      <c r="C6" s="15">
        <f>'C1-3单位工程预算汇总表-GP型'!C6+'C1-3单位工程预算汇总表-GP型'!C25+'C1-3单位工程预算汇总表-GP型'!C44+'C1-3单位工程预算汇总表-GP型'!C63+'C1-3单位工程预算汇总表-GP型'!C83</f>
        <v>85392.232</v>
      </c>
      <c r="D6" s="3" t="s">
        <v>43</v>
      </c>
    </row>
    <row r="7" spans="1:4">
      <c r="A7" s="3" t="s">
        <v>64</v>
      </c>
      <c r="B7" s="8" t="s">
        <v>65</v>
      </c>
      <c r="C7" s="15">
        <f>'C1-3单位工程预算汇总表-GP型'!C7+'C1-3单位工程预算汇总表-GP型'!C26+'C1-3单位工程预算汇总表-GP型'!C45+'C1-3单位工程预算汇总表-GP型'!C64+'C1-3单位工程预算汇总表-GP型'!C84</f>
        <v>0</v>
      </c>
      <c r="D7" s="3" t="s">
        <v>43</v>
      </c>
    </row>
    <row r="8" spans="1:4">
      <c r="A8" s="3" t="s">
        <v>66</v>
      </c>
      <c r="B8" s="8" t="s">
        <v>67</v>
      </c>
      <c r="C8" s="15">
        <f>'C1-3单位工程预算汇总表-GP型'!C8+'C1-3单位工程预算汇总表-GP型'!C27+'C1-3单位工程预算汇总表-GP型'!C46+'C1-3单位工程预算汇总表-GP型'!C65+'C1-3单位工程预算汇总表-GP型'!C85</f>
        <v>0</v>
      </c>
      <c r="D8" s="3" t="s">
        <v>43</v>
      </c>
    </row>
    <row r="9" spans="1:4">
      <c r="A9" s="3" t="s">
        <v>68</v>
      </c>
      <c r="B9" s="8" t="s">
        <v>69</v>
      </c>
      <c r="C9" s="15">
        <f>'C1-3单位工程预算汇总表-GP型'!C9+'C1-3单位工程预算汇总表-GP型'!C28+'C1-3单位工程预算汇总表-GP型'!C47+'C1-3单位工程预算汇总表-GP型'!C66+'C1-3单位工程预算汇总表-GP型'!C86</f>
        <v>0</v>
      </c>
      <c r="D9" s="3" t="s">
        <v>43</v>
      </c>
    </row>
    <row r="10" spans="1:4">
      <c r="A10" s="3" t="s">
        <v>70</v>
      </c>
      <c r="B10" s="8" t="s">
        <v>71</v>
      </c>
      <c r="C10" s="15">
        <f>'C1-3单位工程预算汇总表-GP型'!C10+'C1-3单位工程预算汇总表-GP型'!C29+'C1-3单位工程预算汇总表-GP型'!C48+'C1-3单位工程预算汇总表-GP型'!C67+'C1-3单位工程预算汇总表-GP型'!C87</f>
        <v>0</v>
      </c>
      <c r="D10" s="3" t="s">
        <v>43</v>
      </c>
    </row>
    <row r="11" spans="1:4">
      <c r="A11" s="3" t="s">
        <v>72</v>
      </c>
      <c r="B11" s="8" t="s">
        <v>73</v>
      </c>
      <c r="C11" s="15">
        <f>'C1-3单位工程预算汇总表-GP型'!C11+'C1-3单位工程预算汇总表-GP型'!C30+'C1-3单位工程预算汇总表-GP型'!C49+'C1-3单位工程预算汇总表-GP型'!C68+'C1-3单位工程预算汇总表-GP型'!C88</f>
        <v>0</v>
      </c>
      <c r="D11" s="3" t="s">
        <v>43</v>
      </c>
    </row>
    <row r="12" spans="1:4">
      <c r="A12" s="3" t="s">
        <v>74</v>
      </c>
      <c r="B12" s="8" t="s">
        <v>39</v>
      </c>
      <c r="C12" s="15">
        <f>'C1-3单位工程预算汇总表-GP型'!C12+'C1-3单位工程预算汇总表-GP型'!C31+'C1-3单位工程预算汇总表-GP型'!C50+'C1-3单位工程预算汇总表-GP型'!C69+'C1-3单位工程预算汇总表-GP型'!C89</f>
        <v>157972.64</v>
      </c>
      <c r="D12" s="3" t="s">
        <v>43</v>
      </c>
    </row>
    <row r="13" spans="1:4">
      <c r="A13" s="3" t="s">
        <v>75</v>
      </c>
      <c r="B13" s="8" t="s">
        <v>76</v>
      </c>
      <c r="C13" s="15">
        <f>'C1-3单位工程预算汇总表-GP型'!C13+'C1-3单位工程预算汇总表-GP型'!C32+'C1-3单位工程预算汇总表-GP型'!C51+'C1-3单位工程预算汇总表-GP型'!C70+'C1-3单位工程预算汇总表-GP型'!C90</f>
        <v>0</v>
      </c>
      <c r="D13" s="3" t="s">
        <v>43</v>
      </c>
    </row>
    <row r="14" spans="1:4">
      <c r="A14" s="3" t="s">
        <v>77</v>
      </c>
      <c r="B14" s="8" t="s">
        <v>78</v>
      </c>
      <c r="C14" s="15">
        <f>'C1-3单位工程预算汇总表-GP型'!C14+'C1-3单位工程预算汇总表-GP型'!C33+'C1-3单位工程预算汇总表-GP型'!C52+'C1-3单位工程预算汇总表-GP型'!C71+'C1-3单位工程预算汇总表-GP型'!C91</f>
        <v>6505860.65604</v>
      </c>
      <c r="D14" s="3" t="s">
        <v>43</v>
      </c>
    </row>
    <row r="15" spans="1:4">
      <c r="A15" s="3" t="s">
        <v>79</v>
      </c>
      <c r="B15" s="8" t="s">
        <v>80</v>
      </c>
      <c r="C15" s="15">
        <f>'C1-3单位工程预算汇总表-GP型'!C15+'C1-3单位工程预算汇总表-GP型'!C34+'C1-3单位工程预算汇总表-GP型'!C53+'C1-3单位工程预算汇总表-GP型'!C72+'C1-3单位工程预算汇总表-GP型'!C92</f>
        <v>0</v>
      </c>
      <c r="D15" s="3" t="s">
        <v>43</v>
      </c>
    </row>
    <row r="16" spans="1:4">
      <c r="A16" s="3" t="s">
        <v>81</v>
      </c>
      <c r="B16" s="8" t="s">
        <v>82</v>
      </c>
      <c r="C16" s="15">
        <f>'C1-3单位工程预算汇总表-GP型'!C16+'C1-3单位工程预算汇总表-GP型'!C35+'C1-3单位工程预算汇总表-GP型'!C54+'C1-3单位工程预算汇总表-GP型'!C73+'C1-3单位工程预算汇总表-GP型'!C93</f>
        <v>585527.46</v>
      </c>
      <c r="D16" s="3" t="s">
        <v>43</v>
      </c>
    </row>
    <row r="17" spans="1:4">
      <c r="A17" s="3">
        <v>8</v>
      </c>
      <c r="B17" s="8" t="s">
        <v>83</v>
      </c>
      <c r="C17" s="15">
        <f>'C1-3单位工程预算汇总表-GP型'!C17+'C1-3单位工程预算汇总表-GP型'!C36+'C1-3单位工程预算汇总表-GP型'!C55+'C1-3单位工程预算汇总表-GP型'!C74+'C1-3单位工程预算汇总表-GP型'!C94</f>
        <v>0</v>
      </c>
      <c r="D17" s="18" t="s">
        <v>0</v>
      </c>
    </row>
    <row r="18" spans="1:4">
      <c r="A18" s="3" t="s">
        <v>0</v>
      </c>
      <c r="B18" s="8" t="s">
        <v>0</v>
      </c>
      <c r="C18" s="15"/>
      <c r="D18" s="18" t="s">
        <v>0</v>
      </c>
    </row>
    <row r="19" ht="30" customHeight="1" spans="1:4">
      <c r="A19" s="8" t="s">
        <v>84</v>
      </c>
      <c r="B19" s="8" t="s">
        <v>0</v>
      </c>
      <c r="C19" s="15">
        <f>'C1-3单位工程预算汇总表-GP型'!C19+'C1-3单位工程预算汇总表-GP型'!C38+'C1-3单位工程预算汇总表-GP型'!C57+'C1-3单位工程预算汇总表-GP型'!C76+'C1-3单位工程预算汇总表-GP型'!C96</f>
        <v>7091388.11604</v>
      </c>
      <c r="D19" s="18" t="s">
        <v>9</v>
      </c>
    </row>
  </sheetData>
  <mergeCells count="3">
    <mergeCell ref="A1:D1"/>
    <mergeCell ref="B2:C2"/>
    <mergeCell ref="A19:B19"/>
  </mergeCells>
  <pageMargins left="0.865972222222222" right="0.865972222222222" top="0.75" bottom="0.75" header="0.3" footer="0.3"/>
  <pageSetup paperSize="9" scale="14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D79"/>
  <sheetViews>
    <sheetView showZeros="0" view="pageBreakPreview" zoomScaleNormal="100" workbookViewId="0">
      <selection activeCell="B3" sqref="B3"/>
    </sheetView>
  </sheetViews>
  <sheetFormatPr defaultColWidth="9" defaultRowHeight="14.4" outlineLevelCol="3"/>
  <cols>
    <col min="1" max="1" width="12.8796296296296" customWidth="1"/>
    <col min="2" max="2" width="47.212962962963" customWidth="1"/>
    <col min="3" max="3" width="16.7777777777778" customWidth="1"/>
    <col min="4" max="4" width="15.7777777777778" customWidth="1"/>
  </cols>
  <sheetData>
    <row r="1" ht="28.8" customHeight="1" spans="1:4">
      <c r="A1" s="10" t="s">
        <v>85</v>
      </c>
      <c r="B1" s="10" t="s">
        <v>0</v>
      </c>
      <c r="C1" s="10" t="s">
        <v>0</v>
      </c>
      <c r="D1" s="10" t="s">
        <v>0</v>
      </c>
    </row>
    <row r="2" ht="24" spans="1:4">
      <c r="A2" s="74" t="s">
        <v>24</v>
      </c>
      <c r="B2" s="74" t="s">
        <v>98</v>
      </c>
      <c r="C2" s="23"/>
      <c r="D2" s="9" t="s">
        <v>99</v>
      </c>
    </row>
    <row r="3" spans="1:4">
      <c r="A3" s="3" t="s">
        <v>32</v>
      </c>
      <c r="B3" s="3" t="s">
        <v>56</v>
      </c>
      <c r="C3" s="3" t="s">
        <v>57</v>
      </c>
      <c r="D3" s="3" t="s">
        <v>58</v>
      </c>
    </row>
    <row r="4" spans="1:4">
      <c r="A4" s="3" t="s">
        <v>53</v>
      </c>
      <c r="B4" s="8" t="s">
        <v>59</v>
      </c>
      <c r="C4" s="3">
        <f>'D1-1 分部分项工程量清单计价表【现有林改培‖GP】'!L6</f>
        <v>0</v>
      </c>
      <c r="D4" s="18" t="s">
        <v>9</v>
      </c>
    </row>
    <row r="5" spans="1:4">
      <c r="A5" s="3" t="s">
        <v>60</v>
      </c>
      <c r="B5" s="8" t="s">
        <v>61</v>
      </c>
      <c r="C5" s="15">
        <f>'E.1分部分项工程总价措施项目清单计价表-GP型'!I18</f>
        <v>0</v>
      </c>
      <c r="D5" s="3" t="s">
        <v>43</v>
      </c>
    </row>
    <row r="6" spans="1:4">
      <c r="A6" s="3" t="s">
        <v>62</v>
      </c>
      <c r="B6" s="8" t="s">
        <v>63</v>
      </c>
      <c r="C6" s="3">
        <f>'E.1分部分项工程总价措施项目清单计价表-GP型'!I6</f>
        <v>0</v>
      </c>
      <c r="D6" s="3" t="s">
        <v>43</v>
      </c>
    </row>
    <row r="7" spans="1:4">
      <c r="A7" s="3" t="s">
        <v>64</v>
      </c>
      <c r="B7" s="8" t="s">
        <v>65</v>
      </c>
      <c r="C7" s="3">
        <f>SUM(C8:C11)</f>
        <v>0</v>
      </c>
      <c r="D7" s="3" t="s">
        <v>43</v>
      </c>
    </row>
    <row r="8" spans="1:4">
      <c r="A8" s="3" t="s">
        <v>66</v>
      </c>
      <c r="B8" s="8" t="s">
        <v>67</v>
      </c>
      <c r="C8" s="3">
        <f>'F1.1暂列金额明细表（GP型）'!D26</f>
        <v>0</v>
      </c>
      <c r="D8" s="3" t="s">
        <v>43</v>
      </c>
    </row>
    <row r="9" spans="1:4">
      <c r="A9" s="3" t="s">
        <v>68</v>
      </c>
      <c r="B9" s="8" t="s">
        <v>69</v>
      </c>
      <c r="C9" s="3"/>
      <c r="D9" s="3" t="s">
        <v>43</v>
      </c>
    </row>
    <row r="10" spans="1:4">
      <c r="A10" s="3" t="s">
        <v>70</v>
      </c>
      <c r="B10" s="8" t="s">
        <v>71</v>
      </c>
      <c r="C10" s="3"/>
      <c r="D10" s="3" t="s">
        <v>43</v>
      </c>
    </row>
    <row r="11" spans="1:4">
      <c r="A11" s="3" t="s">
        <v>72</v>
      </c>
      <c r="B11" s="8" t="s">
        <v>73</v>
      </c>
      <c r="C11" s="3"/>
      <c r="D11" s="3" t="s">
        <v>43</v>
      </c>
    </row>
    <row r="12" spans="1:4">
      <c r="A12" s="3" t="s">
        <v>74</v>
      </c>
      <c r="B12" s="8" t="s">
        <v>39</v>
      </c>
      <c r="C12" s="3">
        <f>'G.1规费、税金项目清单计价表-GP型'!F6</f>
        <v>0</v>
      </c>
      <c r="D12" s="3" t="s">
        <v>43</v>
      </c>
    </row>
    <row r="13" spans="1:4">
      <c r="A13" s="3" t="s">
        <v>75</v>
      </c>
      <c r="B13" s="8" t="s">
        <v>76</v>
      </c>
      <c r="C13" s="3"/>
      <c r="D13" s="3" t="s">
        <v>43</v>
      </c>
    </row>
    <row r="14" spans="1:4">
      <c r="A14" s="3" t="s">
        <v>77</v>
      </c>
      <c r="B14" s="8" t="s">
        <v>78</v>
      </c>
      <c r="C14" s="112">
        <f>C4+C5+C7+C12</f>
        <v>0</v>
      </c>
      <c r="D14" s="3" t="s">
        <v>43</v>
      </c>
    </row>
    <row r="15" spans="1:4">
      <c r="A15" s="3" t="s">
        <v>79</v>
      </c>
      <c r="B15" s="8" t="s">
        <v>80</v>
      </c>
      <c r="C15" s="3"/>
      <c r="D15" s="3" t="s">
        <v>43</v>
      </c>
    </row>
    <row r="16" spans="1:4">
      <c r="A16" s="3" t="s">
        <v>81</v>
      </c>
      <c r="B16" s="8" t="s">
        <v>82</v>
      </c>
      <c r="C16" s="3">
        <f>'G.1规费、税金项目清单计价表-GP型'!F7</f>
        <v>0</v>
      </c>
      <c r="D16" s="3" t="s">
        <v>43</v>
      </c>
    </row>
    <row r="17" spans="1:4">
      <c r="A17" s="3">
        <v>8</v>
      </c>
      <c r="B17" s="8" t="s">
        <v>83</v>
      </c>
      <c r="C17" s="3">
        <f>'G.1规费、税金项目清单计价表-GP型'!F8</f>
        <v>0</v>
      </c>
      <c r="D17" s="18" t="s">
        <v>0</v>
      </c>
    </row>
    <row r="18" spans="1:4">
      <c r="A18" s="3" t="s">
        <v>0</v>
      </c>
      <c r="B18" s="8" t="s">
        <v>0</v>
      </c>
      <c r="C18" s="3" t="s">
        <v>0</v>
      </c>
      <c r="D18" s="18" t="s">
        <v>0</v>
      </c>
    </row>
    <row r="19" ht="27" customHeight="1" spans="1:4">
      <c r="A19" s="3" t="s">
        <v>84</v>
      </c>
      <c r="B19" s="3" t="s">
        <v>0</v>
      </c>
      <c r="C19" s="17">
        <f>C14+C16+C17</f>
        <v>0</v>
      </c>
      <c r="D19" s="18" t="s">
        <v>9</v>
      </c>
    </row>
    <row r="20" ht="27.6" customHeight="1" spans="1:4">
      <c r="A20" s="10" t="s">
        <v>85</v>
      </c>
      <c r="B20" s="10" t="s">
        <v>0</v>
      </c>
      <c r="C20" s="10" t="s">
        <v>0</v>
      </c>
      <c r="D20" s="10" t="s">
        <v>0</v>
      </c>
    </row>
    <row r="21" ht="36" spans="1:4">
      <c r="A21" s="74" t="s">
        <v>24</v>
      </c>
      <c r="B21" s="74" t="s">
        <v>100</v>
      </c>
      <c r="C21" s="23"/>
      <c r="D21" s="9" t="s">
        <v>101</v>
      </c>
    </row>
    <row r="22" spans="1:4">
      <c r="A22" s="3" t="s">
        <v>32</v>
      </c>
      <c r="B22" s="3" t="s">
        <v>56</v>
      </c>
      <c r="C22" s="3" t="s">
        <v>57</v>
      </c>
      <c r="D22" s="3" t="s">
        <v>58</v>
      </c>
    </row>
    <row r="23" spans="1:4">
      <c r="A23" s="3" t="s">
        <v>53</v>
      </c>
      <c r="B23" s="8" t="s">
        <v>59</v>
      </c>
      <c r="C23" s="3">
        <f>'D1-1 分部分项工程量清单计价表【现有林改培‖GP】'!L7</f>
        <v>0</v>
      </c>
      <c r="D23" s="18" t="s">
        <v>9</v>
      </c>
    </row>
    <row r="24" spans="1:4">
      <c r="A24" s="3" t="s">
        <v>60</v>
      </c>
      <c r="B24" s="8" t="s">
        <v>61</v>
      </c>
      <c r="C24" s="15">
        <f>'E.1分部分项工程总价措施项目清单计价表-GP型'!I38</f>
        <v>0</v>
      </c>
      <c r="D24" s="3" t="s">
        <v>43</v>
      </c>
    </row>
    <row r="25" spans="1:4">
      <c r="A25" s="3" t="s">
        <v>62</v>
      </c>
      <c r="B25" s="8" t="s">
        <v>63</v>
      </c>
      <c r="C25" s="3">
        <f>'E.1分部分项工程总价措施项目清单计价表-GP型'!I26</f>
        <v>0</v>
      </c>
      <c r="D25" s="3" t="s">
        <v>43</v>
      </c>
    </row>
    <row r="26" spans="1:4">
      <c r="A26" s="3" t="s">
        <v>64</v>
      </c>
      <c r="B26" s="8" t="s">
        <v>65</v>
      </c>
      <c r="C26" s="3">
        <f>SUM(C27:C30)</f>
        <v>0</v>
      </c>
      <c r="D26" s="3" t="s">
        <v>43</v>
      </c>
    </row>
    <row r="27" spans="1:4">
      <c r="A27" s="3" t="s">
        <v>66</v>
      </c>
      <c r="B27" s="8" t="s">
        <v>67</v>
      </c>
      <c r="C27" s="3">
        <f>'F1.1暂列金额明细表（GP型）'!D54</f>
        <v>0</v>
      </c>
      <c r="D27" s="3" t="s">
        <v>43</v>
      </c>
    </row>
    <row r="28" spans="1:4">
      <c r="A28" s="3" t="s">
        <v>68</v>
      </c>
      <c r="B28" s="8" t="s">
        <v>69</v>
      </c>
      <c r="C28" s="3"/>
      <c r="D28" s="3" t="s">
        <v>43</v>
      </c>
    </row>
    <row r="29" spans="1:4">
      <c r="A29" s="3" t="s">
        <v>70</v>
      </c>
      <c r="B29" s="8" t="s">
        <v>71</v>
      </c>
      <c r="C29" s="3"/>
      <c r="D29" s="3" t="s">
        <v>43</v>
      </c>
    </row>
    <row r="30" spans="1:4">
      <c r="A30" s="3" t="s">
        <v>72</v>
      </c>
      <c r="B30" s="8" t="s">
        <v>73</v>
      </c>
      <c r="C30" s="3"/>
      <c r="D30" s="3" t="s">
        <v>43</v>
      </c>
    </row>
    <row r="31" spans="1:4">
      <c r="A31" s="3" t="s">
        <v>74</v>
      </c>
      <c r="B31" s="8" t="s">
        <v>39</v>
      </c>
      <c r="C31" s="3">
        <f>'G.1规费、税金项目清单计价表-GP型'!F17</f>
        <v>0</v>
      </c>
      <c r="D31" s="3" t="s">
        <v>43</v>
      </c>
    </row>
    <row r="32" spans="1:4">
      <c r="A32" s="3" t="s">
        <v>75</v>
      </c>
      <c r="B32" s="8" t="s">
        <v>76</v>
      </c>
      <c r="C32" s="3"/>
      <c r="D32" s="3" t="s">
        <v>43</v>
      </c>
    </row>
    <row r="33" spans="1:4">
      <c r="A33" s="3" t="s">
        <v>77</v>
      </c>
      <c r="B33" s="8" t="s">
        <v>78</v>
      </c>
      <c r="C33" s="17">
        <f>C23+C24+C26+C31</f>
        <v>0</v>
      </c>
      <c r="D33" s="3" t="s">
        <v>43</v>
      </c>
    </row>
    <row r="34" spans="1:4">
      <c r="A34" s="3" t="s">
        <v>79</v>
      </c>
      <c r="B34" s="8" t="s">
        <v>80</v>
      </c>
      <c r="C34" s="3"/>
      <c r="D34" s="3" t="s">
        <v>43</v>
      </c>
    </row>
    <row r="35" spans="1:4">
      <c r="A35" s="3" t="s">
        <v>81</v>
      </c>
      <c r="B35" s="8" t="s">
        <v>82</v>
      </c>
      <c r="C35" s="3">
        <f>'G.1规费、税金项目清单计价表-GP型'!F18</f>
        <v>0</v>
      </c>
      <c r="D35" s="3" t="s">
        <v>43</v>
      </c>
    </row>
    <row r="36" spans="1:4">
      <c r="A36" s="3">
        <v>8</v>
      </c>
      <c r="B36" s="8" t="s">
        <v>83</v>
      </c>
      <c r="C36" s="3">
        <f>'G.1规费、税金项目清单计价表-GP型'!F19</f>
        <v>0</v>
      </c>
      <c r="D36" s="18" t="s">
        <v>0</v>
      </c>
    </row>
    <row r="37" spans="1:4">
      <c r="A37" s="3" t="s">
        <v>0</v>
      </c>
      <c r="B37" s="8" t="s">
        <v>0</v>
      </c>
      <c r="C37" s="3" t="s">
        <v>0</v>
      </c>
      <c r="D37" s="18" t="s">
        <v>0</v>
      </c>
    </row>
    <row r="38" spans="1:4">
      <c r="A38" s="3" t="s">
        <v>84</v>
      </c>
      <c r="B38" s="3" t="s">
        <v>0</v>
      </c>
      <c r="C38" s="17">
        <f>C33+C35+C36</f>
        <v>0</v>
      </c>
      <c r="D38" s="18" t="s">
        <v>9</v>
      </c>
    </row>
    <row r="39" ht="28.2" customHeight="1" spans="1:4">
      <c r="A39" s="10" t="s">
        <v>85</v>
      </c>
      <c r="B39" s="10" t="s">
        <v>0</v>
      </c>
      <c r="C39" s="10" t="s">
        <v>0</v>
      </c>
      <c r="D39" s="10" t="s">
        <v>0</v>
      </c>
    </row>
    <row r="40" ht="36" spans="1:4">
      <c r="A40" s="74" t="s">
        <v>24</v>
      </c>
      <c r="B40" s="74" t="s">
        <v>102</v>
      </c>
      <c r="C40" s="23"/>
      <c r="D40" s="9" t="s">
        <v>103</v>
      </c>
    </row>
    <row r="41" spans="1:4">
      <c r="A41" s="3" t="s">
        <v>32</v>
      </c>
      <c r="B41" s="3" t="s">
        <v>56</v>
      </c>
      <c r="C41" s="3" t="s">
        <v>57</v>
      </c>
      <c r="D41" s="3" t="s">
        <v>58</v>
      </c>
    </row>
    <row r="42" spans="1:4">
      <c r="A42" s="3" t="s">
        <v>53</v>
      </c>
      <c r="B42" s="8" t="s">
        <v>59</v>
      </c>
      <c r="C42" s="3">
        <f>'D1-1 分部分项工程量清单计价表【现有林改培‖GP】'!L8</f>
        <v>6262495.78404</v>
      </c>
      <c r="D42" s="18" t="s">
        <v>9</v>
      </c>
    </row>
    <row r="43" spans="1:4">
      <c r="A43" s="3" t="s">
        <v>60</v>
      </c>
      <c r="B43" s="8" t="s">
        <v>61</v>
      </c>
      <c r="C43" s="15">
        <f>'E.1分部分项工程总价措施项目清单计价表-GP型'!I58</f>
        <v>85392.232</v>
      </c>
      <c r="D43" s="3" t="s">
        <v>43</v>
      </c>
    </row>
    <row r="44" spans="1:4">
      <c r="A44" s="3" t="s">
        <v>62</v>
      </c>
      <c r="B44" s="8" t="s">
        <v>63</v>
      </c>
      <c r="C44" s="3">
        <f>'E.1分部分项工程总价措施项目清单计价表-GP型'!I46</f>
        <v>85392.232</v>
      </c>
      <c r="D44" s="3" t="s">
        <v>43</v>
      </c>
    </row>
    <row r="45" spans="1:4">
      <c r="A45" s="3" t="s">
        <v>64</v>
      </c>
      <c r="B45" s="8" t="s">
        <v>65</v>
      </c>
      <c r="C45" s="3">
        <f>SUM(C46:C49)</f>
        <v>0</v>
      </c>
      <c r="D45" s="3" t="s">
        <v>43</v>
      </c>
    </row>
    <row r="46" spans="1:4">
      <c r="A46" s="3" t="s">
        <v>66</v>
      </c>
      <c r="B46" s="8" t="s">
        <v>67</v>
      </c>
      <c r="C46" s="3">
        <f>'F1.1暂列金额明细表（GP型）'!D82</f>
        <v>0</v>
      </c>
      <c r="D46" s="3" t="s">
        <v>43</v>
      </c>
    </row>
    <row r="47" spans="1:4">
      <c r="A47" s="3" t="s">
        <v>68</v>
      </c>
      <c r="B47" s="8" t="s">
        <v>69</v>
      </c>
      <c r="C47" s="3"/>
      <c r="D47" s="3" t="s">
        <v>43</v>
      </c>
    </row>
    <row r="48" spans="1:4">
      <c r="A48" s="3" t="s">
        <v>70</v>
      </c>
      <c r="B48" s="8" t="s">
        <v>71</v>
      </c>
      <c r="C48" s="3"/>
      <c r="D48" s="3" t="s">
        <v>43</v>
      </c>
    </row>
    <row r="49" spans="1:4">
      <c r="A49" s="3" t="s">
        <v>72</v>
      </c>
      <c r="B49" s="8" t="s">
        <v>73</v>
      </c>
      <c r="C49" s="3"/>
      <c r="D49" s="3" t="s">
        <v>43</v>
      </c>
    </row>
    <row r="50" spans="1:4">
      <c r="A50" s="3" t="s">
        <v>74</v>
      </c>
      <c r="B50" s="8" t="s">
        <v>39</v>
      </c>
      <c r="C50" s="3">
        <f>'G.1规费、税金项目清单计价表-GP型'!F28</f>
        <v>157972.64</v>
      </c>
      <c r="D50" s="3" t="s">
        <v>43</v>
      </c>
    </row>
    <row r="51" spans="1:4">
      <c r="A51" s="3" t="s">
        <v>75</v>
      </c>
      <c r="B51" s="8" t="s">
        <v>76</v>
      </c>
      <c r="C51" s="3"/>
      <c r="D51" s="3" t="s">
        <v>43</v>
      </c>
    </row>
    <row r="52" spans="1:4">
      <c r="A52" s="3" t="s">
        <v>77</v>
      </c>
      <c r="B52" s="8" t="s">
        <v>78</v>
      </c>
      <c r="C52" s="17">
        <f>C42+C43+C45+C50</f>
        <v>6505860.65604</v>
      </c>
      <c r="D52" s="3" t="s">
        <v>43</v>
      </c>
    </row>
    <row r="53" spans="1:4">
      <c r="A53" s="3" t="s">
        <v>79</v>
      </c>
      <c r="B53" s="8" t="s">
        <v>80</v>
      </c>
      <c r="C53" s="3"/>
      <c r="D53" s="3" t="s">
        <v>43</v>
      </c>
    </row>
    <row r="54" spans="1:4">
      <c r="A54" s="3" t="s">
        <v>81</v>
      </c>
      <c r="B54" s="8" t="s">
        <v>82</v>
      </c>
      <c r="C54" s="3">
        <f>'G.1规费、税金项目清单计价表-GP型'!F29</f>
        <v>585527.46</v>
      </c>
      <c r="D54" s="3" t="s">
        <v>43</v>
      </c>
    </row>
    <row r="55" spans="1:4">
      <c r="A55" s="3">
        <v>8</v>
      </c>
      <c r="B55" s="8" t="s">
        <v>83</v>
      </c>
      <c r="C55" s="3">
        <f>'G.1规费、税金项目清单计价表-GP型'!F30</f>
        <v>0</v>
      </c>
      <c r="D55" s="18" t="s">
        <v>0</v>
      </c>
    </row>
    <row r="56" spans="1:4">
      <c r="A56" s="3" t="s">
        <v>0</v>
      </c>
      <c r="B56" s="8" t="s">
        <v>0</v>
      </c>
      <c r="C56" s="3" t="s">
        <v>0</v>
      </c>
      <c r="D56" s="18" t="s">
        <v>0</v>
      </c>
    </row>
    <row r="57" spans="1:4">
      <c r="A57" s="3" t="s">
        <v>84</v>
      </c>
      <c r="B57" s="3" t="s">
        <v>0</v>
      </c>
      <c r="C57" s="17">
        <f>C52+C54+C55</f>
        <v>7091388.11604</v>
      </c>
      <c r="D57" s="18" t="s">
        <v>9</v>
      </c>
    </row>
    <row r="58" ht="29.4" customHeight="1" spans="1:4">
      <c r="A58" s="10" t="s">
        <v>85</v>
      </c>
      <c r="B58" s="10" t="s">
        <v>0</v>
      </c>
      <c r="C58" s="10" t="s">
        <v>0</v>
      </c>
      <c r="D58" s="10" t="s">
        <v>0</v>
      </c>
    </row>
    <row r="59" ht="36" spans="1:4">
      <c r="A59" s="74" t="s">
        <v>24</v>
      </c>
      <c r="B59" s="74" t="s">
        <v>104</v>
      </c>
      <c r="C59" s="23"/>
      <c r="D59" s="9" t="s">
        <v>105</v>
      </c>
    </row>
    <row r="60" spans="1:4">
      <c r="A60" s="3" t="s">
        <v>32</v>
      </c>
      <c r="B60" s="3" t="s">
        <v>56</v>
      </c>
      <c r="C60" s="3" t="s">
        <v>57</v>
      </c>
      <c r="D60" s="3" t="s">
        <v>58</v>
      </c>
    </row>
    <row r="61" spans="1:4">
      <c r="A61" s="3" t="s">
        <v>53</v>
      </c>
      <c r="B61" s="8" t="s">
        <v>59</v>
      </c>
      <c r="C61" s="3">
        <f>'D1-1 分部分项工程量清单计价表【现有林改培‖GP】'!L9</f>
        <v>0</v>
      </c>
      <c r="D61" s="18" t="s">
        <v>9</v>
      </c>
    </row>
    <row r="62" spans="1:4">
      <c r="A62" s="3" t="s">
        <v>60</v>
      </c>
      <c r="B62" s="8" t="s">
        <v>61</v>
      </c>
      <c r="C62" s="15">
        <f>'E.1分部分项工程总价措施项目清单计价表-GP型'!I78</f>
        <v>0</v>
      </c>
      <c r="D62" s="3" t="s">
        <v>43</v>
      </c>
    </row>
    <row r="63" spans="1:4">
      <c r="A63" s="3" t="s">
        <v>62</v>
      </c>
      <c r="B63" s="8" t="s">
        <v>63</v>
      </c>
      <c r="C63" s="3">
        <f>'E.1分部分项工程总价措施项目清单计价表-GP型'!I66</f>
        <v>0</v>
      </c>
      <c r="D63" s="3" t="s">
        <v>43</v>
      </c>
    </row>
    <row r="64" spans="1:4">
      <c r="A64" s="3" t="s">
        <v>64</v>
      </c>
      <c r="B64" s="8" t="s">
        <v>65</v>
      </c>
      <c r="C64" s="3">
        <f>SUM(C65:C68)</f>
        <v>0</v>
      </c>
      <c r="D64" s="3" t="s">
        <v>43</v>
      </c>
    </row>
    <row r="65" spans="1:4">
      <c r="A65" s="3" t="s">
        <v>66</v>
      </c>
      <c r="B65" s="8" t="s">
        <v>67</v>
      </c>
      <c r="C65" s="3">
        <f>'F1.1暂列金额明细表（GP型）'!D110</f>
        <v>0</v>
      </c>
      <c r="D65" s="3" t="s">
        <v>43</v>
      </c>
    </row>
    <row r="66" spans="1:4">
      <c r="A66" s="3" t="s">
        <v>68</v>
      </c>
      <c r="B66" s="8" t="s">
        <v>69</v>
      </c>
      <c r="C66" s="3"/>
      <c r="D66" s="3" t="s">
        <v>43</v>
      </c>
    </row>
    <row r="67" spans="1:4">
      <c r="A67" s="3" t="s">
        <v>70</v>
      </c>
      <c r="B67" s="8" t="s">
        <v>71</v>
      </c>
      <c r="C67" s="3"/>
      <c r="D67" s="3" t="s">
        <v>43</v>
      </c>
    </row>
    <row r="68" spans="1:4">
      <c r="A68" s="3" t="s">
        <v>72</v>
      </c>
      <c r="B68" s="8" t="s">
        <v>73</v>
      </c>
      <c r="C68" s="3"/>
      <c r="D68" s="3" t="s">
        <v>43</v>
      </c>
    </row>
    <row r="69" spans="1:4">
      <c r="A69" s="3" t="s">
        <v>74</v>
      </c>
      <c r="B69" s="8" t="s">
        <v>39</v>
      </c>
      <c r="C69" s="3">
        <f>'G.1规费、税金项目清单计价表-GP型'!F39</f>
        <v>0</v>
      </c>
      <c r="D69" s="3" t="s">
        <v>43</v>
      </c>
    </row>
    <row r="70" spans="1:4">
      <c r="A70" s="3" t="s">
        <v>75</v>
      </c>
      <c r="B70" s="8" t="s">
        <v>76</v>
      </c>
      <c r="C70" s="3"/>
      <c r="D70" s="3" t="s">
        <v>43</v>
      </c>
    </row>
    <row r="71" spans="1:4">
      <c r="A71" s="3" t="s">
        <v>77</v>
      </c>
      <c r="B71" s="8" t="s">
        <v>78</v>
      </c>
      <c r="C71" s="17">
        <f>C61+C62+C64+C69</f>
        <v>0</v>
      </c>
      <c r="D71" s="3" t="s">
        <v>43</v>
      </c>
    </row>
    <row r="72" spans="1:4">
      <c r="A72" s="3" t="s">
        <v>79</v>
      </c>
      <c r="B72" s="8" t="s">
        <v>80</v>
      </c>
      <c r="C72" s="3"/>
      <c r="D72" s="3" t="s">
        <v>43</v>
      </c>
    </row>
    <row r="73" spans="1:4">
      <c r="A73" s="3" t="s">
        <v>81</v>
      </c>
      <c r="B73" s="8" t="s">
        <v>82</v>
      </c>
      <c r="C73" s="3">
        <f>'G.1规费、税金项目清单计价表-GP型'!F40</f>
        <v>0</v>
      </c>
      <c r="D73" s="3" t="s">
        <v>43</v>
      </c>
    </row>
    <row r="74" spans="1:4">
      <c r="A74" s="3">
        <v>8</v>
      </c>
      <c r="B74" s="8" t="s">
        <v>83</v>
      </c>
      <c r="C74" s="3">
        <f>'G.1规费、税金项目清单计价表-GP型'!F41</f>
        <v>0</v>
      </c>
      <c r="D74" s="18" t="s">
        <v>0</v>
      </c>
    </row>
    <row r="75" spans="1:4">
      <c r="A75" s="3" t="s">
        <v>0</v>
      </c>
      <c r="B75" s="8" t="s">
        <v>0</v>
      </c>
      <c r="C75" s="3" t="s">
        <v>0</v>
      </c>
      <c r="D75" s="18" t="s">
        <v>0</v>
      </c>
    </row>
    <row r="76" spans="1:4">
      <c r="A76" s="3" t="s">
        <v>84</v>
      </c>
      <c r="B76" s="3" t="s">
        <v>0</v>
      </c>
      <c r="C76" s="17">
        <f>C71+C73+C74</f>
        <v>0</v>
      </c>
      <c r="D76" s="18" t="s">
        <v>9</v>
      </c>
    </row>
    <row r="78" ht="28.8" customHeight="1" spans="1:4">
      <c r="A78" s="10"/>
      <c r="B78" s="10"/>
      <c r="C78" s="10"/>
      <c r="D78" s="10"/>
    </row>
    <row r="79" ht="40.2" customHeight="1" spans="1:4">
      <c r="A79" s="113"/>
      <c r="B79" s="113"/>
      <c r="C79" s="23"/>
      <c r="D79" s="9"/>
    </row>
  </sheetData>
  <mergeCells count="10">
    <mergeCell ref="A1:D1"/>
    <mergeCell ref="A19:B19"/>
    <mergeCell ref="A20:D20"/>
    <mergeCell ref="A38:B38"/>
    <mergeCell ref="A39:D39"/>
    <mergeCell ref="A57:B57"/>
    <mergeCell ref="A58:D58"/>
    <mergeCell ref="A76:B76"/>
    <mergeCell ref="A78:D78"/>
    <mergeCell ref="A79:B79"/>
  </mergeCells>
  <pageMargins left="0.826388888888889" right="0.826388888888889" top="0.75" bottom="0.75" header="0.3" footer="0.3"/>
  <pageSetup paperSize="9" scale="140" orientation="landscape"/>
  <headerFooter/>
  <rowBreaks count="3" manualBreakCount="3">
    <brk id="19" max="3" man="1"/>
    <brk id="38" max="3" man="1"/>
    <brk id="57" max="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view="pageBreakPreview" zoomScaleNormal="100" workbookViewId="0">
      <selection activeCell="A3" sqref="A3:A5"/>
    </sheetView>
  </sheetViews>
  <sheetFormatPr defaultColWidth="9" defaultRowHeight="14.4"/>
  <cols>
    <col min="1" max="1" width="5.77777777777778" customWidth="1"/>
    <col min="3" max="3" width="18.212962962963" customWidth="1"/>
    <col min="4" max="4" width="6" customWidth="1"/>
    <col min="5" max="5" width="8" customWidth="1"/>
    <col min="6" max="6" width="10.212962962963" customWidth="1"/>
    <col min="7" max="8" width="8.66666666666667" customWidth="1"/>
    <col min="9" max="9" width="7.21296296296296" customWidth="1"/>
    <col min="10" max="11" width="8.66666666666667" customWidth="1"/>
    <col min="12" max="14" width="11.8888888888889" customWidth="1"/>
    <col min="15" max="15" width="10.7777777777778" customWidth="1"/>
    <col min="16" max="16" width="9.66666666666667" customWidth="1"/>
    <col min="17" max="17" width="10.7777777777778" customWidth="1"/>
  </cols>
  <sheetData>
    <row r="1" ht="46.2" customHeight="1" spans="1:17">
      <c r="A1" s="1" t="s">
        <v>106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8" customHeight="1" spans="1:12">
      <c r="A2" s="69" t="s">
        <v>107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17">
      <c r="A3" s="3" t="s">
        <v>32</v>
      </c>
      <c r="B3" s="3" t="s">
        <v>108</v>
      </c>
      <c r="C3" s="3" t="s">
        <v>109</v>
      </c>
      <c r="D3" s="3" t="s">
        <v>110</v>
      </c>
      <c r="E3" s="3" t="s">
        <v>111</v>
      </c>
      <c r="F3" s="3" t="s">
        <v>50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>
      <c r="A4" s="3"/>
      <c r="B4" s="3"/>
      <c r="C4" s="3" t="s">
        <v>0</v>
      </c>
      <c r="D4" s="3" t="s">
        <v>0</v>
      </c>
      <c r="E4" s="3" t="s">
        <v>0</v>
      </c>
      <c r="F4" s="3" t="s">
        <v>112</v>
      </c>
      <c r="G4" s="3"/>
      <c r="H4" s="3"/>
      <c r="I4" s="3"/>
      <c r="J4" s="3"/>
      <c r="K4" s="3"/>
      <c r="L4" s="3" t="s">
        <v>113</v>
      </c>
      <c r="M4" s="3"/>
      <c r="N4" s="3"/>
      <c r="O4" s="3"/>
      <c r="P4" s="3"/>
      <c r="Q4" s="3"/>
    </row>
    <row r="5" spans="1:17">
      <c r="A5" s="3"/>
      <c r="B5" s="3"/>
      <c r="C5" s="3"/>
      <c r="D5" s="3"/>
      <c r="E5" s="3"/>
      <c r="F5" s="3" t="s">
        <v>114</v>
      </c>
      <c r="G5" s="3" t="s">
        <v>115</v>
      </c>
      <c r="H5" s="3" t="s">
        <v>116</v>
      </c>
      <c r="I5" s="3" t="s">
        <v>117</v>
      </c>
      <c r="J5" s="3" t="s">
        <v>118</v>
      </c>
      <c r="K5" s="3" t="s">
        <v>119</v>
      </c>
      <c r="L5" s="3" t="s">
        <v>114</v>
      </c>
      <c r="M5" s="3" t="s">
        <v>115</v>
      </c>
      <c r="N5" s="3" t="s">
        <v>116</v>
      </c>
      <c r="O5" s="3" t="s">
        <v>117</v>
      </c>
      <c r="P5" s="3" t="s">
        <v>118</v>
      </c>
      <c r="Q5" s="3" t="s">
        <v>119</v>
      </c>
    </row>
    <row r="6" ht="19.95" customHeight="1" spans="1:17">
      <c r="A6" s="3" t="s">
        <v>53</v>
      </c>
      <c r="B6" s="4" t="s">
        <v>120</v>
      </c>
      <c r="C6" s="8" t="s">
        <v>54</v>
      </c>
      <c r="D6" s="3" t="s">
        <v>121</v>
      </c>
      <c r="E6" s="3">
        <v>793.2</v>
      </c>
      <c r="F6" s="15">
        <f>ROUND(L6/$E6,2)</f>
        <v>477.61</v>
      </c>
      <c r="G6" s="3">
        <f t="shared" ref="G6:K6" si="0">ROUND(M6/$E6,2)</f>
        <v>253.53</v>
      </c>
      <c r="H6" s="3">
        <f t="shared" si="0"/>
        <v>166.65</v>
      </c>
      <c r="I6" s="3">
        <f t="shared" si="0"/>
        <v>39.68</v>
      </c>
      <c r="J6" s="3">
        <f t="shared" si="0"/>
        <v>5.07</v>
      </c>
      <c r="K6" s="3">
        <f t="shared" si="0"/>
        <v>12.68</v>
      </c>
      <c r="L6" s="15">
        <f>'D3-3 分部分项工程量清单综合单价计算表(分页不带材料)~1'!K17</f>
        <v>378837.6915</v>
      </c>
      <c r="M6" s="110">
        <f>'D3-3 分部分项工程量清单综合单价计算表(分页不带材料)~1'!F17</f>
        <v>201103.486</v>
      </c>
      <c r="N6" s="110">
        <f>'D3-3 分部分项工程量清单综合单价计算表(分页不带材料)~1'!G17</f>
        <v>132182.8195</v>
      </c>
      <c r="O6" s="110">
        <f>'D3-3 分部分项工程量清单综合单价计算表(分页不带材料)~1'!H17</f>
        <v>31474.146</v>
      </c>
      <c r="P6" s="110">
        <f>'D3-3 分部分项工程量清单综合单价计算表(分页不带材料)~1'!I17</f>
        <v>4022.07</v>
      </c>
      <c r="Q6" s="110">
        <f>'D3-3 分部分项工程量清单综合单价计算表(分页不带材料)~1'!J17</f>
        <v>10055.17</v>
      </c>
    </row>
    <row r="7" ht="19.95" customHeight="1" spans="1:17">
      <c r="A7" s="3"/>
      <c r="B7" s="4" t="s">
        <v>122</v>
      </c>
      <c r="C7" s="8" t="s">
        <v>88</v>
      </c>
      <c r="D7" s="3" t="s">
        <v>121</v>
      </c>
      <c r="E7" s="18">
        <v>4374.5</v>
      </c>
      <c r="F7" s="94">
        <v>0</v>
      </c>
      <c r="G7" s="18">
        <v>0</v>
      </c>
      <c r="H7" s="18"/>
      <c r="I7" s="18"/>
      <c r="J7" s="18">
        <v>0</v>
      </c>
      <c r="K7" s="18">
        <v>0</v>
      </c>
      <c r="L7" s="94">
        <v>0</v>
      </c>
      <c r="M7" s="111">
        <v>0</v>
      </c>
      <c r="N7" s="111"/>
      <c r="O7" s="111"/>
      <c r="P7" s="111">
        <v>0</v>
      </c>
      <c r="Q7" s="111">
        <v>0</v>
      </c>
    </row>
    <row r="8" ht="19.95" customHeight="1" spans="1:17">
      <c r="A8" s="3"/>
      <c r="B8" s="4" t="s">
        <v>123</v>
      </c>
      <c r="C8" s="8" t="s">
        <v>91</v>
      </c>
      <c r="D8" s="3" t="s">
        <v>121</v>
      </c>
      <c r="E8" s="18">
        <v>61.6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94">
        <v>0</v>
      </c>
      <c r="M8" s="111">
        <v>0</v>
      </c>
      <c r="N8" s="111">
        <v>0</v>
      </c>
      <c r="O8" s="111">
        <v>0</v>
      </c>
      <c r="P8" s="111">
        <v>0</v>
      </c>
      <c r="Q8" s="111">
        <v>0</v>
      </c>
    </row>
    <row r="9" ht="19.95" customHeight="1" spans="1:17">
      <c r="A9" s="3"/>
      <c r="B9" s="4" t="s">
        <v>124</v>
      </c>
      <c r="C9" s="8" t="s">
        <v>92</v>
      </c>
      <c r="D9" s="3" t="s">
        <v>121</v>
      </c>
      <c r="E9" s="18">
        <v>870.6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</row>
    <row r="10" ht="19.95" customHeight="1" spans="1:17">
      <c r="A10" s="3"/>
      <c r="B10" s="4" t="s">
        <v>125</v>
      </c>
      <c r="C10" s="8" t="s">
        <v>94</v>
      </c>
      <c r="D10" s="3" t="s">
        <v>121</v>
      </c>
      <c r="E10" s="18">
        <v>13796.8</v>
      </c>
      <c r="F10" s="18">
        <v>453.91</v>
      </c>
      <c r="G10" s="18">
        <v>238.54</v>
      </c>
      <c r="H10" s="18">
        <v>160.01</v>
      </c>
      <c r="I10" s="18">
        <v>38.66</v>
      </c>
      <c r="J10" s="18">
        <v>4.77</v>
      </c>
      <c r="K10" s="18">
        <v>11.93</v>
      </c>
      <c r="L10" s="18">
        <v>6262495.78404</v>
      </c>
      <c r="M10" s="6">
        <v>3291096.628</v>
      </c>
      <c r="N10" s="6">
        <v>2207618.45804</v>
      </c>
      <c r="O10" s="6">
        <v>533403.948</v>
      </c>
      <c r="P10" s="6">
        <v>65821.93</v>
      </c>
      <c r="Q10" s="6">
        <v>164554.82</v>
      </c>
    </row>
    <row r="11" ht="19.95" customHeight="1" spans="1:17">
      <c r="A11" s="3"/>
      <c r="B11" s="4" t="s">
        <v>126</v>
      </c>
      <c r="C11" s="8" t="s">
        <v>96</v>
      </c>
      <c r="D11" s="3" t="s">
        <v>121</v>
      </c>
      <c r="E11" s="18">
        <v>103.3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</row>
    <row r="12" ht="19.95" customHeight="1" spans="1:17">
      <c r="A12" s="3"/>
      <c r="B12" s="4"/>
      <c r="C12" s="8"/>
      <c r="D12" s="3"/>
      <c r="E12" s="18"/>
      <c r="F12" s="18"/>
      <c r="G12" s="18"/>
      <c r="H12" s="18"/>
      <c r="I12" s="18"/>
      <c r="J12" s="18"/>
      <c r="K12" s="18"/>
      <c r="L12" s="18"/>
      <c r="M12" s="6"/>
      <c r="N12" s="6"/>
      <c r="O12" s="6"/>
      <c r="P12" s="6"/>
      <c r="Q12" s="6"/>
    </row>
    <row r="13" ht="19.95" customHeight="1" spans="1:17">
      <c r="A13" s="3"/>
      <c r="B13" s="4"/>
      <c r="C13" s="8"/>
      <c r="D13" s="3"/>
      <c r="E13" s="18"/>
      <c r="F13" s="18"/>
      <c r="G13" s="18"/>
      <c r="H13" s="18"/>
      <c r="I13" s="18"/>
      <c r="J13" s="18"/>
      <c r="K13" s="18"/>
      <c r="L13" s="18"/>
      <c r="M13" s="6"/>
      <c r="N13" s="6"/>
      <c r="O13" s="6"/>
      <c r="P13" s="6"/>
      <c r="Q13" s="6"/>
    </row>
    <row r="14" ht="19.95" customHeight="1" spans="1:17">
      <c r="A14" s="3"/>
      <c r="B14" s="4"/>
      <c r="C14" s="8"/>
      <c r="D14" s="3"/>
      <c r="E14" s="18"/>
      <c r="F14" s="18"/>
      <c r="G14" s="18"/>
      <c r="H14" s="18"/>
      <c r="I14" s="18"/>
      <c r="J14" s="18"/>
      <c r="K14" s="18"/>
      <c r="L14" s="18"/>
      <c r="M14" s="6"/>
      <c r="N14" s="6"/>
      <c r="O14" s="6"/>
      <c r="P14" s="6"/>
      <c r="Q14" s="6"/>
    </row>
    <row r="15" ht="19.95" customHeight="1" spans="1:17">
      <c r="A15" s="3"/>
      <c r="B15" s="4"/>
      <c r="C15" s="8"/>
      <c r="D15" s="3"/>
      <c r="E15" s="18"/>
      <c r="F15" s="18"/>
      <c r="G15" s="18"/>
      <c r="H15" s="18"/>
      <c r="I15" s="18"/>
      <c r="J15" s="18"/>
      <c r="K15" s="18"/>
      <c r="L15" s="18"/>
      <c r="M15" s="6"/>
      <c r="N15" s="6"/>
      <c r="O15" s="6"/>
      <c r="P15" s="6"/>
      <c r="Q15" s="6"/>
    </row>
    <row r="16" ht="19.95" customHeight="1" spans="1:17">
      <c r="A16" s="3"/>
      <c r="B16" s="4"/>
      <c r="C16" s="8"/>
      <c r="D16" s="3"/>
      <c r="E16" s="18"/>
      <c r="F16" s="18"/>
      <c r="G16" s="18"/>
      <c r="H16" s="18"/>
      <c r="I16" s="18"/>
      <c r="J16" s="18"/>
      <c r="K16" s="18"/>
      <c r="L16" s="18"/>
      <c r="M16" s="6"/>
      <c r="N16" s="6"/>
      <c r="O16" s="6"/>
      <c r="P16" s="6"/>
      <c r="Q16" s="6"/>
    </row>
    <row r="17" ht="19.95" customHeight="1" spans="1:17">
      <c r="A17" s="3"/>
      <c r="B17" s="4"/>
      <c r="C17" s="8"/>
      <c r="D17" s="3"/>
      <c r="E17" s="18"/>
      <c r="F17" s="18"/>
      <c r="G17" s="18"/>
      <c r="H17" s="18"/>
      <c r="I17" s="18"/>
      <c r="J17" s="18"/>
      <c r="K17" s="18"/>
      <c r="L17" s="18"/>
      <c r="M17" s="6"/>
      <c r="N17" s="6"/>
      <c r="O17" s="6"/>
      <c r="P17" s="6"/>
      <c r="Q17" s="6"/>
    </row>
    <row r="18" ht="19.95" customHeight="1" spans="1:17">
      <c r="A18" s="3"/>
      <c r="B18" s="4"/>
      <c r="C18" s="8"/>
      <c r="D18" s="3"/>
      <c r="E18" s="18"/>
      <c r="F18" s="18"/>
      <c r="G18" s="18"/>
      <c r="H18" s="18"/>
      <c r="I18" s="18"/>
      <c r="J18" s="18"/>
      <c r="K18" s="18"/>
      <c r="L18" s="18"/>
      <c r="M18" s="6"/>
      <c r="N18" s="6"/>
      <c r="O18" s="6"/>
      <c r="P18" s="6"/>
      <c r="Q18" s="6"/>
    </row>
    <row r="19" ht="19.95" customHeight="1" spans="1:17">
      <c r="A19" s="3"/>
      <c r="B19" s="4"/>
      <c r="C19" s="8"/>
      <c r="D19" s="3"/>
      <c r="E19" s="18"/>
      <c r="F19" s="18"/>
      <c r="G19" s="18"/>
      <c r="H19" s="18"/>
      <c r="I19" s="18"/>
      <c r="J19" s="18"/>
      <c r="K19" s="18"/>
      <c r="L19" s="18"/>
      <c r="M19" s="6"/>
      <c r="N19" s="6"/>
      <c r="O19" s="6"/>
      <c r="P19" s="6"/>
      <c r="Q19" s="6"/>
    </row>
    <row r="20" ht="19.95" customHeight="1" spans="1:17">
      <c r="A20" s="3"/>
      <c r="B20" s="4"/>
      <c r="C20" s="8"/>
      <c r="D20" s="3"/>
      <c r="E20" s="18"/>
      <c r="F20" s="18"/>
      <c r="G20" s="18"/>
      <c r="H20" s="18"/>
      <c r="I20" s="18"/>
      <c r="J20" s="18"/>
      <c r="K20" s="18"/>
      <c r="L20" s="18"/>
      <c r="M20" s="6"/>
      <c r="N20" s="6"/>
      <c r="O20" s="6"/>
      <c r="P20" s="6"/>
      <c r="Q20" s="6"/>
    </row>
    <row r="21" ht="19.95" customHeight="1" spans="1:17">
      <c r="A21" s="3"/>
      <c r="B21" s="4"/>
      <c r="C21" s="8"/>
      <c r="D21" s="3"/>
      <c r="E21" s="18"/>
      <c r="F21" s="18"/>
      <c r="G21" s="18"/>
      <c r="H21" s="18"/>
      <c r="I21" s="18"/>
      <c r="J21" s="18"/>
      <c r="K21" s="18"/>
      <c r="L21" s="18"/>
      <c r="M21" s="6"/>
      <c r="N21" s="6"/>
      <c r="O21" s="6"/>
      <c r="P21" s="6"/>
      <c r="Q21" s="6"/>
    </row>
    <row r="22" ht="19.95" customHeight="1" spans="1:17">
      <c r="A22" s="3"/>
      <c r="B22" s="4"/>
      <c r="C22" s="8"/>
      <c r="D22" s="3"/>
      <c r="E22" s="18"/>
      <c r="F22" s="18"/>
      <c r="G22" s="18"/>
      <c r="H22" s="18"/>
      <c r="I22" s="18"/>
      <c r="J22" s="18"/>
      <c r="K22" s="18"/>
      <c r="L22" s="18"/>
      <c r="M22" s="6"/>
      <c r="N22" s="6"/>
      <c r="O22" s="6"/>
      <c r="P22" s="6"/>
      <c r="Q22" s="6"/>
    </row>
    <row r="23" ht="19.95" customHeight="1" spans="1:17">
      <c r="A23" s="3"/>
      <c r="B23" s="4"/>
      <c r="C23" s="8"/>
      <c r="D23" s="3"/>
      <c r="E23" s="18"/>
      <c r="F23" s="18"/>
      <c r="G23" s="18"/>
      <c r="H23" s="18"/>
      <c r="I23" s="18"/>
      <c r="J23" s="18"/>
      <c r="K23" s="18"/>
      <c r="L23" s="18"/>
      <c r="M23" s="6"/>
      <c r="N23" s="6"/>
      <c r="O23" s="6"/>
      <c r="P23" s="6"/>
      <c r="Q23" s="6"/>
    </row>
    <row r="24" ht="19.95" customHeight="1" spans="1:17">
      <c r="A24" s="3"/>
      <c r="B24" s="4"/>
      <c r="C24" s="8"/>
      <c r="D24" s="3"/>
      <c r="E24" s="18"/>
      <c r="F24" s="18"/>
      <c r="G24" s="18"/>
      <c r="H24" s="18"/>
      <c r="I24" s="18"/>
      <c r="J24" s="18"/>
      <c r="K24" s="18"/>
      <c r="L24" s="18"/>
      <c r="M24" s="6"/>
      <c r="N24" s="6"/>
      <c r="O24" s="6"/>
      <c r="P24" s="6"/>
      <c r="Q24" s="6"/>
    </row>
    <row r="25" ht="19.95" customHeight="1" spans="1:17">
      <c r="A25" s="3"/>
      <c r="B25" s="4"/>
      <c r="C25" s="8"/>
      <c r="D25" s="3"/>
      <c r="E25" s="18"/>
      <c r="F25" s="18"/>
      <c r="G25" s="18"/>
      <c r="H25" s="18"/>
      <c r="I25" s="18"/>
      <c r="J25" s="18"/>
      <c r="K25" s="18"/>
      <c r="L25" s="18"/>
      <c r="M25" s="6"/>
      <c r="N25" s="6"/>
      <c r="O25" s="6"/>
      <c r="P25" s="6"/>
      <c r="Q25" s="6"/>
    </row>
    <row r="26" ht="19.95" customHeight="1" spans="1:17">
      <c r="A26" s="70" t="s">
        <v>0</v>
      </c>
      <c r="B26" s="71" t="s">
        <v>0</v>
      </c>
      <c r="C26" s="3" t="s">
        <v>127</v>
      </c>
      <c r="D26" s="70" t="s">
        <v>0</v>
      </c>
      <c r="E26" s="70" t="s">
        <v>0</v>
      </c>
      <c r="F26" s="70" t="s">
        <v>0</v>
      </c>
      <c r="G26" s="3"/>
      <c r="H26" s="3"/>
      <c r="I26" s="3"/>
      <c r="J26" s="3"/>
      <c r="K26" s="3"/>
      <c r="L26" s="15">
        <f t="shared" ref="L26:Q26" si="1">SUM(L6:L25)</f>
        <v>6641333.47554</v>
      </c>
      <c r="M26" s="15">
        <f t="shared" si="1"/>
        <v>3492200.114</v>
      </c>
      <c r="N26" s="15">
        <f t="shared" si="1"/>
        <v>2339801.27754</v>
      </c>
      <c r="O26" s="15">
        <f t="shared" si="1"/>
        <v>564878.094</v>
      </c>
      <c r="P26" s="15">
        <f t="shared" si="1"/>
        <v>69844</v>
      </c>
      <c r="Q26" s="15">
        <f t="shared" si="1"/>
        <v>174609.99</v>
      </c>
    </row>
    <row r="27" ht="19.95" customHeight="1" spans="1:17">
      <c r="A27" s="70" t="s">
        <v>0</v>
      </c>
      <c r="B27" s="71" t="s">
        <v>0</v>
      </c>
      <c r="C27" s="3" t="s">
        <v>128</v>
      </c>
      <c r="D27" s="70" t="s">
        <v>0</v>
      </c>
      <c r="E27" s="70" t="s">
        <v>0</v>
      </c>
      <c r="F27" s="70" t="s">
        <v>0</v>
      </c>
      <c r="G27" s="3"/>
      <c r="H27" s="3"/>
      <c r="I27" s="3"/>
      <c r="J27" s="3"/>
      <c r="K27" s="3"/>
      <c r="L27" s="3">
        <f>L26</f>
        <v>6641333.47554</v>
      </c>
      <c r="M27" s="3">
        <f t="shared" ref="M27:Q27" si="2">M26</f>
        <v>3492200.114</v>
      </c>
      <c r="N27" s="3">
        <f t="shared" si="2"/>
        <v>2339801.27754</v>
      </c>
      <c r="O27" s="3">
        <f t="shared" si="2"/>
        <v>564878.094</v>
      </c>
      <c r="P27" s="3">
        <f t="shared" si="2"/>
        <v>69844</v>
      </c>
      <c r="Q27" s="3">
        <f t="shared" si="2"/>
        <v>174609.99</v>
      </c>
    </row>
    <row r="28" spans="1:12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</row>
    <row r="29" customHeight="1" spans="1:17">
      <c r="A29" s="20" t="s">
        <v>29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</row>
  </sheetData>
  <mergeCells count="11">
    <mergeCell ref="A1:Q1"/>
    <mergeCell ref="A2:L2"/>
    <mergeCell ref="F3:Q3"/>
    <mergeCell ref="F4:K4"/>
    <mergeCell ref="L4:Q4"/>
    <mergeCell ref="A29:Q29"/>
    <mergeCell ref="A3:A5"/>
    <mergeCell ref="B3:B5"/>
    <mergeCell ref="C3:C5"/>
    <mergeCell ref="D3:D5"/>
    <mergeCell ref="E3:E5"/>
  </mergeCells>
  <pageMargins left="0.708661417322835" right="0.708661417322835" top="0.748031496062992" bottom="0.748031496062992" header="0.31496062992126" footer="0.31496062992126"/>
  <pageSetup paperSize="9" scale="8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7"/>
  <sheetViews>
    <sheetView showZeros="0" view="pageBreakPreview" zoomScaleNormal="100" workbookViewId="0">
      <selection activeCell="C4" sqref="C4:I4"/>
    </sheetView>
  </sheetViews>
  <sheetFormatPr defaultColWidth="9" defaultRowHeight="14.4"/>
  <cols>
    <col min="1" max="1" width="6.66666666666667" customWidth="1"/>
    <col min="2" max="2" width="12.8796296296296" customWidth="1"/>
    <col min="3" max="3" width="26" customWidth="1"/>
    <col min="6" max="7" width="12.1111111111111" customWidth="1"/>
    <col min="8" max="10" width="10.7777777777778" customWidth="1"/>
    <col min="11" max="11" width="12.1111111111111" customWidth="1"/>
  </cols>
  <sheetData>
    <row r="1" ht="27.6" customHeight="1" spans="1:11">
      <c r="A1" s="36" t="s">
        <v>0</v>
      </c>
      <c r="B1" s="36" t="s">
        <v>0</v>
      </c>
      <c r="C1" s="85" t="s">
        <v>129</v>
      </c>
      <c r="D1" s="85"/>
      <c r="E1" s="85"/>
      <c r="F1" s="85"/>
      <c r="G1" s="85"/>
      <c r="H1" s="85"/>
      <c r="I1" s="85"/>
      <c r="J1" s="43" t="s">
        <v>31</v>
      </c>
      <c r="K1" s="43" t="s">
        <v>0</v>
      </c>
    </row>
    <row r="2" spans="1:11">
      <c r="A2" s="36" t="s">
        <v>130</v>
      </c>
      <c r="B2" s="36" t="s">
        <v>0</v>
      </c>
      <c r="C2" s="36" t="s">
        <v>0</v>
      </c>
      <c r="D2" s="36" t="s">
        <v>0</v>
      </c>
      <c r="E2" s="36" t="s">
        <v>0</v>
      </c>
      <c r="F2" s="36" t="s">
        <v>0</v>
      </c>
      <c r="G2" s="36" t="s">
        <v>0</v>
      </c>
      <c r="H2" s="36" t="s">
        <v>0</v>
      </c>
      <c r="I2" s="36" t="s">
        <v>0</v>
      </c>
      <c r="J2" s="36" t="s">
        <v>0</v>
      </c>
      <c r="K2" s="36" t="s">
        <v>0</v>
      </c>
    </row>
    <row r="3" spans="1:11">
      <c r="A3" s="12"/>
      <c r="B3" s="20" t="s">
        <v>24</v>
      </c>
      <c r="C3" s="28" t="s">
        <v>131</v>
      </c>
      <c r="D3" s="28" t="s">
        <v>0</v>
      </c>
      <c r="E3" s="28" t="s">
        <v>0</v>
      </c>
      <c r="F3" s="28" t="s">
        <v>0</v>
      </c>
      <c r="G3" s="28" t="s">
        <v>0</v>
      </c>
      <c r="H3" s="28" t="s">
        <v>0</v>
      </c>
      <c r="I3" s="28" t="s">
        <v>0</v>
      </c>
      <c r="J3" s="28" t="s">
        <v>132</v>
      </c>
      <c r="K3" s="28" t="s">
        <v>0</v>
      </c>
    </row>
    <row r="4" customHeight="1" spans="2:11">
      <c r="B4" s="107" t="s">
        <v>133</v>
      </c>
      <c r="C4" s="28" t="s">
        <v>134</v>
      </c>
      <c r="D4" s="28" t="s">
        <v>0</v>
      </c>
      <c r="E4" s="28" t="s">
        <v>0</v>
      </c>
      <c r="F4" s="28" t="s">
        <v>0</v>
      </c>
      <c r="G4" s="28" t="s">
        <v>0</v>
      </c>
      <c r="H4" s="28" t="s">
        <v>0</v>
      </c>
      <c r="I4" s="28" t="s">
        <v>0</v>
      </c>
      <c r="J4" s="28" t="s">
        <v>135</v>
      </c>
      <c r="K4" s="28" t="s">
        <v>0</v>
      </c>
    </row>
    <row r="5" customHeight="1" spans="2:11">
      <c r="B5" s="107" t="s">
        <v>136</v>
      </c>
      <c r="C5" s="28" t="s">
        <v>137</v>
      </c>
      <c r="D5" s="28" t="s">
        <v>0</v>
      </c>
      <c r="E5" s="28" t="s">
        <v>0</v>
      </c>
      <c r="F5" s="28" t="s">
        <v>0</v>
      </c>
      <c r="G5" s="28" t="s">
        <v>0</v>
      </c>
      <c r="H5" s="28" t="s">
        <v>0</v>
      </c>
      <c r="I5" s="28" t="s">
        <v>0</v>
      </c>
      <c r="J5" s="28" t="str">
        <f>"综合单价："&amp;$M$17&amp;"元"</f>
        <v>综合单价：477.61元</v>
      </c>
      <c r="K5" s="28" t="s">
        <v>0</v>
      </c>
    </row>
    <row r="6" spans="1:11">
      <c r="A6" s="39" t="s">
        <v>32</v>
      </c>
      <c r="B6" s="39" t="s">
        <v>138</v>
      </c>
      <c r="C6" s="39" t="s">
        <v>139</v>
      </c>
      <c r="D6" s="39" t="s">
        <v>110</v>
      </c>
      <c r="E6" s="39" t="s">
        <v>140</v>
      </c>
      <c r="F6" s="39" t="s">
        <v>141</v>
      </c>
      <c r="G6" s="39" t="s">
        <v>0</v>
      </c>
      <c r="H6" s="39" t="s">
        <v>0</v>
      </c>
      <c r="I6" s="39" t="s">
        <v>0</v>
      </c>
      <c r="J6" s="39" t="s">
        <v>0</v>
      </c>
      <c r="K6" s="39" t="s">
        <v>0</v>
      </c>
    </row>
    <row r="7" spans="1:13">
      <c r="A7" s="39" t="s">
        <v>0</v>
      </c>
      <c r="B7" s="39" t="s">
        <v>0</v>
      </c>
      <c r="C7" s="39" t="s">
        <v>0</v>
      </c>
      <c r="D7" s="39" t="s">
        <v>0</v>
      </c>
      <c r="E7" s="39" t="s">
        <v>0</v>
      </c>
      <c r="F7" s="39" t="s">
        <v>115</v>
      </c>
      <c r="G7" s="39" t="s">
        <v>116</v>
      </c>
      <c r="H7" s="39" t="s">
        <v>117</v>
      </c>
      <c r="I7" s="39" t="s">
        <v>118</v>
      </c>
      <c r="J7" s="39" t="s">
        <v>119</v>
      </c>
      <c r="K7" s="39" t="s">
        <v>142</v>
      </c>
      <c r="M7" s="108"/>
    </row>
    <row r="8" spans="1:11">
      <c r="A8" s="39" t="s">
        <v>53</v>
      </c>
      <c r="B8" s="39" t="s">
        <v>143</v>
      </c>
      <c r="C8" s="77" t="s">
        <v>144</v>
      </c>
      <c r="D8" s="39" t="s">
        <v>121</v>
      </c>
      <c r="E8" s="39">
        <v>793.2</v>
      </c>
      <c r="F8" s="62">
        <f>'D3-4 分部分项工程量清单综合单价计算表(分页带材料)ZL型'!F8</f>
        <v>0</v>
      </c>
      <c r="G8" s="62"/>
      <c r="H8" s="62" t="s">
        <v>0</v>
      </c>
      <c r="I8" s="62">
        <f>'D3-4 分部分项工程量清单综合单价计算表(分页带材料)ZL型'!I8</f>
        <v>0</v>
      </c>
      <c r="J8" s="62">
        <f>'D3-4 分部分项工程量清单综合单价计算表(分页带材料)ZL型'!J8</f>
        <v>0</v>
      </c>
      <c r="K8" s="62">
        <f>'D3-4 分部分项工程量清单综合单价计算表(分页带材料)ZL型'!K8</f>
        <v>0</v>
      </c>
    </row>
    <row r="9" spans="1:11">
      <c r="A9" s="39" t="s">
        <v>60</v>
      </c>
      <c r="B9" s="39" t="s">
        <v>145</v>
      </c>
      <c r="C9" s="77" t="s">
        <v>146</v>
      </c>
      <c r="D9" s="39" t="s">
        <v>121</v>
      </c>
      <c r="E9" s="39">
        <v>793.2</v>
      </c>
      <c r="F9" s="62">
        <f>'D3-4 分部分项工程量清单综合单价计算表(分页带材料)ZL型'!F12</f>
        <v>84350.272</v>
      </c>
      <c r="G9" s="62">
        <f>'D3-4 分部分项工程量清单综合单价计算表(分页带材料)ZL型'!G12</f>
        <v>32074.185</v>
      </c>
      <c r="H9" s="62" t="str">
        <f>'D3-4 分部分项工程量清单综合单价计算表(分页带材料)ZL型'!H12</f>
        <v/>
      </c>
      <c r="I9" s="62">
        <f>'D3-4 分部分项工程量清单综合单价计算表(分页带材料)ZL型'!I12</f>
        <v>1687.01</v>
      </c>
      <c r="J9" s="62">
        <f>'D3-4 分部分项工程量清单综合单价计算表(分页带材料)ZL型'!J12</f>
        <v>4217.51</v>
      </c>
      <c r="K9" s="62">
        <f>'D3-4 分部分项工程量清单综合单价计算表(分页带材料)ZL型'!K12</f>
        <v>122328.977</v>
      </c>
    </row>
    <row r="10" spans="1:11">
      <c r="A10" s="39" t="s">
        <v>64</v>
      </c>
      <c r="B10" s="39" t="s">
        <v>147</v>
      </c>
      <c r="C10" s="77" t="s">
        <v>148</v>
      </c>
      <c r="D10" s="39" t="s">
        <v>121</v>
      </c>
      <c r="E10" s="39">
        <v>793.2</v>
      </c>
      <c r="F10" s="62">
        <f>'D3-4 分部分项工程量清单综合单价计算表(分页带材料)ZL型'!F19</f>
        <v>9171.072</v>
      </c>
      <c r="G10" s="62">
        <f>'D3-4 分部分项工程量清单综合单价计算表(分页带材料)ZL型'!G19</f>
        <v>30653.65</v>
      </c>
      <c r="H10" s="62">
        <f>'D3-4 分部分项工程量清单综合单价计算表(分页带材料)ZL型'!H19</f>
        <v>0</v>
      </c>
      <c r="I10" s="62">
        <f>'D3-4 分部分项工程量清单综合单价计算表(分页带材料)ZL型'!I19</f>
        <v>183.42</v>
      </c>
      <c r="J10" s="62">
        <f>'D3-4 分部分项工程量清单综合单价计算表(分页带材料)ZL型'!J19</f>
        <v>458.55</v>
      </c>
      <c r="K10" s="62">
        <f>'D3-4 分部分项工程量清单综合单价计算表(分页带材料)ZL型'!K19</f>
        <v>40466.692</v>
      </c>
    </row>
    <row r="11" spans="1:11">
      <c r="A11" s="39" t="s">
        <v>74</v>
      </c>
      <c r="B11" s="39" t="s">
        <v>149</v>
      </c>
      <c r="C11" s="77" t="s">
        <v>150</v>
      </c>
      <c r="D11" s="39" t="s">
        <v>121</v>
      </c>
      <c r="E11" s="39">
        <v>793.2</v>
      </c>
      <c r="F11" s="62">
        <f>'D3-4 分部分项工程量清单综合单价计算表(分页带材料)ZL型'!F23</f>
        <v>42315.584</v>
      </c>
      <c r="G11" s="62">
        <f>'D3-4 分部分项工程量清单综合单价计算表(分页带材料)ZL型'!G23</f>
        <v>0</v>
      </c>
      <c r="H11" s="62">
        <f>'D3-4 分部分项工程量清单综合单价计算表(分页带材料)ZL型'!H23</f>
        <v>0</v>
      </c>
      <c r="I11" s="62">
        <f>'D3-4 分部分项工程量清单综合单价计算表(分页带材料)ZL型'!I23</f>
        <v>846.31</v>
      </c>
      <c r="J11" s="62">
        <f>'D3-4 分部分项工程量清单综合单价计算表(分页带材料)ZL型'!J23</f>
        <v>2115.78</v>
      </c>
      <c r="K11" s="62">
        <f>'D3-4 分部分项工程量清单综合单价计算表(分页带材料)ZL型'!K23</f>
        <v>45277.674</v>
      </c>
    </row>
    <row r="12" spans="1:11">
      <c r="A12" s="39" t="s">
        <v>75</v>
      </c>
      <c r="B12" s="39" t="s">
        <v>151</v>
      </c>
      <c r="C12" s="77" t="s">
        <v>152</v>
      </c>
      <c r="D12" s="39" t="s">
        <v>121</v>
      </c>
      <c r="E12" s="39">
        <v>793.2</v>
      </c>
      <c r="F12" s="62">
        <f>'D3-4 分部分项工程量清单综合单价计算表(分页带材料)ZL型'!F26</f>
        <v>2872.192</v>
      </c>
      <c r="G12" s="62">
        <f>'D3-4 分部分项工程量清单综合单价计算表(分页带材料)ZL型'!G26</f>
        <v>4813.1655</v>
      </c>
      <c r="H12" s="62">
        <f>'D3-4 分部分项工程量清单综合单价计算表(分页带材料)ZL型'!H26</f>
        <v>0</v>
      </c>
      <c r="I12" s="62">
        <f>'D3-4 分部分项工程量清单综合单价计算表(分页带材料)ZL型'!I26</f>
        <v>57.44</v>
      </c>
      <c r="J12" s="62">
        <f>'D3-4 分部分项工程量清单综合单价计算表(分页带材料)ZL型'!J26</f>
        <v>143.61</v>
      </c>
      <c r="K12" s="62">
        <f>'D3-4 分部分项工程量清单综合单价计算表(分页带材料)ZL型'!K26</f>
        <v>7886.4075</v>
      </c>
    </row>
    <row r="13" spans="1:11">
      <c r="A13" s="39" t="s">
        <v>77</v>
      </c>
      <c r="B13" s="39" t="s">
        <v>153</v>
      </c>
      <c r="C13" s="77" t="s">
        <v>154</v>
      </c>
      <c r="D13" s="39" t="s">
        <v>121</v>
      </c>
      <c r="E13" s="39">
        <v>793.2</v>
      </c>
      <c r="F13" s="62">
        <f>'D3-4 分部分项工程量清单综合单价计算表(分页带材料)ZL型'!F30</f>
        <v>27515.648</v>
      </c>
      <c r="G13" s="62">
        <f>'D3-4 分部分项工程量清单综合单价计算表(分页带材料)ZL型'!G30</f>
        <v>52622.514</v>
      </c>
      <c r="H13" s="62">
        <f>'D3-4 分部分项工程量清单综合单价计算表(分页带材料)ZL型'!H30</f>
        <v>0</v>
      </c>
      <c r="I13" s="62">
        <f>'D3-4 分部分项工程量清单综合单价计算表(分页带材料)ZL型'!I30</f>
        <v>550.31</v>
      </c>
      <c r="J13" s="62">
        <f>'D3-4 分部分项工程量清单综合单价计算表(分页带材料)ZL型'!J30</f>
        <v>1375.78</v>
      </c>
      <c r="K13" s="62">
        <f>'D3-4 分部分项工程量清单综合单价计算表(分页带材料)ZL型'!K30</f>
        <v>82064.252</v>
      </c>
    </row>
    <row r="14" spans="1:11">
      <c r="A14" s="39" t="s">
        <v>81</v>
      </c>
      <c r="B14" s="39" t="s">
        <v>155</v>
      </c>
      <c r="C14" s="77" t="s">
        <v>156</v>
      </c>
      <c r="D14" s="39" t="s">
        <v>121</v>
      </c>
      <c r="E14" s="39">
        <v>793.2</v>
      </c>
      <c r="F14" s="62">
        <f>'D3-4 分部分项工程量清单综合单价计算表(分页带材料)ZL型'!F35</f>
        <v>20877.504</v>
      </c>
      <c r="G14" s="62">
        <f>'D3-4 分部分项工程量清单综合单价计算表(分页带材料)ZL型'!G35</f>
        <v>12019.305</v>
      </c>
      <c r="H14" s="62">
        <f>'D3-4 分部分项工程量清单综合单价计算表(分页带材料)ZL型'!H35</f>
        <v>0</v>
      </c>
      <c r="I14" s="62">
        <f>'D3-4 分部分项工程量清单综合单价计算表(分页带材料)ZL型'!I35</f>
        <v>417.55</v>
      </c>
      <c r="J14" s="62">
        <f>'D3-4 分部分项工程量清单综合单价计算表(分页带材料)ZL型'!J35</f>
        <v>1043.88</v>
      </c>
      <c r="K14" s="62">
        <f>'D3-4 分部分项工程量清单综合单价计算表(分页带材料)ZL型'!K35</f>
        <v>34358.239</v>
      </c>
    </row>
    <row r="15" spans="1:11">
      <c r="A15" s="39" t="s">
        <v>157</v>
      </c>
      <c r="B15" s="39" t="s">
        <v>158</v>
      </c>
      <c r="C15" s="77" t="s">
        <v>159</v>
      </c>
      <c r="D15" s="39" t="s">
        <v>121</v>
      </c>
      <c r="E15" s="39">
        <v>793.2</v>
      </c>
      <c r="F15" s="62">
        <f>'D3-4 分部分项工程量清单综合单价计算表(分页带材料)ZL型'!F38</f>
        <v>2155.36</v>
      </c>
      <c r="G15" s="62">
        <f>'D3-4 分部分项工程量清单综合单价计算表(分页带材料)ZL型'!G38</f>
        <v>0</v>
      </c>
      <c r="H15" s="62">
        <f>'D3-4 分部分项工程量清单综合单价计算表(分页带材料)ZL型'!H38</f>
        <v>0</v>
      </c>
      <c r="I15" s="62">
        <f>'D3-4 分部分项工程量清单综合单价计算表(分页带材料)ZL型'!I38</f>
        <v>43.11</v>
      </c>
      <c r="J15" s="62">
        <f>'D3-4 分部分项工程量清单综合单价计算表(分页带材料)ZL型'!J38</f>
        <v>107.77</v>
      </c>
      <c r="K15" s="62">
        <f>'D3-4 分部分项工程量清单综合单价计算表(分页带材料)ZL型'!K38</f>
        <v>2306.24</v>
      </c>
    </row>
    <row r="16" spans="1:11">
      <c r="A16" s="39" t="s">
        <v>160</v>
      </c>
      <c r="B16" s="39" t="s">
        <v>161</v>
      </c>
      <c r="C16" s="77" t="s">
        <v>162</v>
      </c>
      <c r="D16" s="39" t="s">
        <v>163</v>
      </c>
      <c r="E16" s="39">
        <v>1279</v>
      </c>
      <c r="F16" s="62">
        <f>'D3-4 分部分项工程量清单综合单价计算表(分页带材料)ZL型'!F41</f>
        <v>11845.854</v>
      </c>
      <c r="G16" s="62" t="str">
        <f>'D3-4 分部分项工程量清单综合单价计算表(分页带材料)ZL型'!G41</f>
        <v/>
      </c>
      <c r="H16" s="62">
        <f>'D3-4 分部分项工程量清单综合单价计算表(分页带材料)ZL型'!H41</f>
        <v>31474.146</v>
      </c>
      <c r="I16" s="62">
        <f>'D3-4 分部分项工程量清单综合单价计算表(分页带材料)ZL型'!I41</f>
        <v>236.92</v>
      </c>
      <c r="J16" s="62">
        <f>'D3-4 分部分项工程量清单综合单价计算表(分页带材料)ZL型'!J41</f>
        <v>592.29</v>
      </c>
      <c r="K16" s="62">
        <f>'D3-4 分部分项工程量清单综合单价计算表(分页带材料)ZL型'!K41</f>
        <v>44149.21</v>
      </c>
    </row>
    <row r="17" spans="1:13">
      <c r="A17" s="39" t="s">
        <v>9</v>
      </c>
      <c r="B17" s="39" t="s">
        <v>9</v>
      </c>
      <c r="C17" s="39" t="s">
        <v>164</v>
      </c>
      <c r="D17" s="39" t="s">
        <v>9</v>
      </c>
      <c r="E17" s="61" t="s">
        <v>9</v>
      </c>
      <c r="F17" s="81">
        <f t="shared" ref="F17:K17" si="0">SUM(F8:F16)</f>
        <v>201103.486</v>
      </c>
      <c r="G17" s="81">
        <f t="shared" si="0"/>
        <v>132182.8195</v>
      </c>
      <c r="H17" s="81">
        <f t="shared" si="0"/>
        <v>31474.146</v>
      </c>
      <c r="I17" s="81">
        <f t="shared" si="0"/>
        <v>4022.07</v>
      </c>
      <c r="J17" s="81">
        <f t="shared" si="0"/>
        <v>10055.17</v>
      </c>
      <c r="K17" s="81">
        <f t="shared" si="0"/>
        <v>378837.6915</v>
      </c>
      <c r="M17" s="109">
        <f>ROUND(K17/E15,2)</f>
        <v>477.61</v>
      </c>
    </row>
    <row r="18" spans="1:11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</row>
    <row r="19" spans="1:12">
      <c r="A19" s="13" t="s">
        <v>0</v>
      </c>
      <c r="B19" s="13" t="s">
        <v>0</v>
      </c>
      <c r="C19" s="13" t="s">
        <v>0</v>
      </c>
      <c r="D19" s="13" t="s">
        <v>0</v>
      </c>
      <c r="E19" s="13" t="s">
        <v>0</v>
      </c>
      <c r="F19" s="13" t="s">
        <v>0</v>
      </c>
      <c r="G19" s="43" t="s">
        <v>29</v>
      </c>
      <c r="H19" s="43"/>
      <c r="I19" s="43"/>
      <c r="J19" s="43"/>
      <c r="K19" s="43"/>
      <c r="L19" s="12" t="s">
        <v>0</v>
      </c>
    </row>
    <row r="20" ht="34.8" customHeight="1"/>
    <row r="36" spans="13:13">
      <c r="M36" s="109" t="e">
        <f>ROUND(K36/E35,2)</f>
        <v>#DIV/0!</v>
      </c>
    </row>
    <row r="38" ht="226.2" customHeight="1"/>
    <row r="39" ht="25.8" customHeight="1"/>
    <row r="55" spans="13:13">
      <c r="M55" s="109" t="e">
        <f>ROUND(K55/E54,2)</f>
        <v>#DIV/0!</v>
      </c>
    </row>
    <row r="57" ht="237.6" customHeight="1" spans="7:11">
      <c r="G57" s="43" t="s">
        <v>29</v>
      </c>
      <c r="H57" s="43"/>
      <c r="I57" s="43"/>
      <c r="J57" s="43"/>
      <c r="K57" s="43"/>
    </row>
  </sheetData>
  <mergeCells count="19">
    <mergeCell ref="A1:B1"/>
    <mergeCell ref="C1:I1"/>
    <mergeCell ref="J1:K1"/>
    <mergeCell ref="A2:K2"/>
    <mergeCell ref="C3:I3"/>
    <mergeCell ref="J3:K3"/>
    <mergeCell ref="C4:I4"/>
    <mergeCell ref="J4:K4"/>
    <mergeCell ref="C5:I5"/>
    <mergeCell ref="J5:K5"/>
    <mergeCell ref="F6:K6"/>
    <mergeCell ref="A19:F19"/>
    <mergeCell ref="G19:K19"/>
    <mergeCell ref="G57:K57"/>
    <mergeCell ref="A6:A7"/>
    <mergeCell ref="B6:B7"/>
    <mergeCell ref="C6:C7"/>
    <mergeCell ref="D6:D7"/>
    <mergeCell ref="E6:E7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2"/>
  <sheetViews>
    <sheetView view="pageBreakPreview" zoomScaleNormal="100" workbookViewId="0">
      <selection activeCell="C4" sqref="C4:I4"/>
    </sheetView>
  </sheetViews>
  <sheetFormatPr defaultColWidth="9" defaultRowHeight="14.4"/>
  <cols>
    <col min="1" max="1" width="7" style="34" customWidth="1"/>
    <col min="2" max="2" width="11.212962962963" style="34" customWidth="1"/>
    <col min="3" max="3" width="34.1111111111111" style="34" customWidth="1"/>
    <col min="4" max="4" width="8.87962962962963" style="34"/>
    <col min="5" max="11" width="10.1111111111111" style="34" customWidth="1"/>
    <col min="12" max="12" width="10.6666666666667" style="34"/>
    <col min="13" max="16384" width="8.87962962962963" style="34"/>
  </cols>
  <sheetData>
    <row r="1" ht="28.8" customHeight="1" spans="1:11">
      <c r="A1" s="36" t="s">
        <v>0</v>
      </c>
      <c r="B1" s="36" t="s">
        <v>0</v>
      </c>
      <c r="C1" s="85" t="s">
        <v>129</v>
      </c>
      <c r="D1" s="85" t="s">
        <v>0</v>
      </c>
      <c r="E1" s="85" t="s">
        <v>0</v>
      </c>
      <c r="F1" s="85" t="s">
        <v>0</v>
      </c>
      <c r="G1" s="85" t="s">
        <v>0</v>
      </c>
      <c r="H1" s="85" t="s">
        <v>0</v>
      </c>
      <c r="I1" s="85" t="s">
        <v>0</v>
      </c>
      <c r="J1" s="43" t="s">
        <v>165</v>
      </c>
      <c r="K1" s="43" t="s">
        <v>0</v>
      </c>
    </row>
    <row r="2" spans="1:11">
      <c r="A2" s="38" t="s">
        <v>130</v>
      </c>
      <c r="B2" s="38" t="s">
        <v>0</v>
      </c>
      <c r="C2" s="38" t="s">
        <v>0</v>
      </c>
      <c r="D2" s="38" t="s">
        <v>0</v>
      </c>
      <c r="E2" s="38" t="s">
        <v>0</v>
      </c>
      <c r="F2" s="38" t="s">
        <v>0</v>
      </c>
      <c r="G2" s="38" t="s">
        <v>0</v>
      </c>
      <c r="H2" s="38" t="s">
        <v>0</v>
      </c>
      <c r="I2" s="38" t="s">
        <v>0</v>
      </c>
      <c r="J2" s="38" t="s">
        <v>0</v>
      </c>
      <c r="K2" s="38" t="s">
        <v>0</v>
      </c>
    </row>
    <row r="3" spans="1:11">
      <c r="A3" s="20" t="s">
        <v>24</v>
      </c>
      <c r="B3" s="20" t="s">
        <v>0</v>
      </c>
      <c r="C3" s="13" t="s">
        <v>131</v>
      </c>
      <c r="D3" s="13" t="s">
        <v>0</v>
      </c>
      <c r="E3" s="13" t="s">
        <v>0</v>
      </c>
      <c r="F3" s="13" t="s">
        <v>0</v>
      </c>
      <c r="G3" s="13" t="s">
        <v>0</v>
      </c>
      <c r="H3" s="13" t="s">
        <v>0</v>
      </c>
      <c r="I3" s="13" t="s">
        <v>0</v>
      </c>
      <c r="J3" s="13" t="s">
        <v>132</v>
      </c>
      <c r="K3" s="13" t="s">
        <v>0</v>
      </c>
    </row>
    <row r="4" spans="1:11">
      <c r="A4" s="20" t="s">
        <v>133</v>
      </c>
      <c r="B4" s="20" t="s">
        <v>0</v>
      </c>
      <c r="C4" s="13" t="s">
        <v>166</v>
      </c>
      <c r="D4" s="13" t="s">
        <v>0</v>
      </c>
      <c r="E4" s="13" t="s">
        <v>0</v>
      </c>
      <c r="F4" s="13" t="s">
        <v>0</v>
      </c>
      <c r="G4" s="13" t="s">
        <v>0</v>
      </c>
      <c r="H4" s="13" t="s">
        <v>0</v>
      </c>
      <c r="I4" s="13" t="s">
        <v>0</v>
      </c>
      <c r="J4" s="28" t="s">
        <v>135</v>
      </c>
      <c r="K4" s="28" t="s">
        <v>0</v>
      </c>
    </row>
    <row r="5" spans="1:11">
      <c r="A5" s="20" t="s">
        <v>136</v>
      </c>
      <c r="B5" s="20" t="s">
        <v>0</v>
      </c>
      <c r="C5" s="13" t="s">
        <v>167</v>
      </c>
      <c r="D5" s="13" t="s">
        <v>0</v>
      </c>
      <c r="E5" s="13" t="s">
        <v>0</v>
      </c>
      <c r="F5" s="13" t="s">
        <v>0</v>
      </c>
      <c r="G5" s="13" t="s">
        <v>0</v>
      </c>
      <c r="H5" s="13" t="s">
        <v>0</v>
      </c>
      <c r="I5" s="13" t="s">
        <v>0</v>
      </c>
      <c r="J5" s="28" t="s">
        <v>168</v>
      </c>
      <c r="K5" s="28" t="s">
        <v>0</v>
      </c>
    </row>
    <row r="6" spans="1:11">
      <c r="A6" s="39" t="s">
        <v>32</v>
      </c>
      <c r="B6" s="39" t="s">
        <v>138</v>
      </c>
      <c r="C6" s="39" t="s">
        <v>139</v>
      </c>
      <c r="D6" s="39" t="s">
        <v>110</v>
      </c>
      <c r="E6" s="39" t="s">
        <v>140</v>
      </c>
      <c r="F6" s="39" t="s">
        <v>141</v>
      </c>
      <c r="G6" s="39" t="s">
        <v>0</v>
      </c>
      <c r="H6" s="39" t="s">
        <v>0</v>
      </c>
      <c r="I6" s="39" t="s">
        <v>0</v>
      </c>
      <c r="J6" s="39" t="s">
        <v>0</v>
      </c>
      <c r="K6" s="39" t="s">
        <v>0</v>
      </c>
    </row>
    <row r="7" spans="1:11">
      <c r="A7" s="59" t="s">
        <v>0</v>
      </c>
      <c r="B7" s="59" t="s">
        <v>0</v>
      </c>
      <c r="C7" s="59" t="s">
        <v>0</v>
      </c>
      <c r="D7" s="59" t="s">
        <v>0</v>
      </c>
      <c r="E7" s="59" t="s">
        <v>0</v>
      </c>
      <c r="F7" s="60" t="s">
        <v>115</v>
      </c>
      <c r="G7" s="60" t="s">
        <v>116</v>
      </c>
      <c r="H7" s="60" t="s">
        <v>117</v>
      </c>
      <c r="I7" s="60" t="s">
        <v>118</v>
      </c>
      <c r="J7" s="60" t="s">
        <v>119</v>
      </c>
      <c r="K7" s="60" t="s">
        <v>142</v>
      </c>
    </row>
    <row r="8" spans="1:11">
      <c r="A8" s="39" t="s">
        <v>53</v>
      </c>
      <c r="B8" s="39" t="s">
        <v>143</v>
      </c>
      <c r="C8" s="39" t="s">
        <v>144</v>
      </c>
      <c r="D8" s="39" t="s">
        <v>121</v>
      </c>
      <c r="E8" s="39"/>
      <c r="F8" s="41">
        <f>SUM(F9:F11)</f>
        <v>0</v>
      </c>
      <c r="G8" s="39"/>
      <c r="H8" s="39" t="s">
        <v>0</v>
      </c>
      <c r="I8" s="62">
        <f>ROUND(F8*0.02,2)</f>
        <v>0</v>
      </c>
      <c r="J8" s="62">
        <f>ROUND(F8*0.05,2)</f>
        <v>0</v>
      </c>
      <c r="K8" s="39">
        <f>SUM(F8:J8)</f>
        <v>0</v>
      </c>
    </row>
    <row r="9" spans="1:12">
      <c r="A9" s="39" t="s">
        <v>60</v>
      </c>
      <c r="B9" s="39"/>
      <c r="C9" s="39" t="s">
        <v>169</v>
      </c>
      <c r="D9" s="39" t="s">
        <v>170</v>
      </c>
      <c r="E9" s="40"/>
      <c r="F9" s="42">
        <f>E9*$L$9*0.95</f>
        <v>0</v>
      </c>
      <c r="G9" s="39"/>
      <c r="H9" s="39"/>
      <c r="I9" s="62">
        <f t="shared" ref="I9:I16" si="0">ROUND(F9*0.02,2)</f>
        <v>0</v>
      </c>
      <c r="J9" s="62">
        <f t="shared" ref="J9:J16" si="1">ROUND(F9*0.05,2)</f>
        <v>0</v>
      </c>
      <c r="K9" s="39">
        <f t="shared" ref="K9:K21" si="2">SUM(F9:J9)</f>
        <v>0</v>
      </c>
      <c r="L9" s="34">
        <v>232</v>
      </c>
    </row>
    <row r="10" spans="1:12">
      <c r="A10" s="39" t="s">
        <v>64</v>
      </c>
      <c r="B10" s="39"/>
      <c r="C10" s="39" t="s">
        <v>171</v>
      </c>
      <c r="D10" s="39" t="s">
        <v>170</v>
      </c>
      <c r="E10" s="40"/>
      <c r="F10" s="42">
        <f>E10*$L$10*0.95</f>
        <v>0</v>
      </c>
      <c r="G10" s="39"/>
      <c r="H10" s="39" t="s">
        <v>0</v>
      </c>
      <c r="I10" s="62">
        <f t="shared" si="0"/>
        <v>0</v>
      </c>
      <c r="J10" s="62">
        <f t="shared" si="1"/>
        <v>0</v>
      </c>
      <c r="K10" s="39">
        <f t="shared" si="2"/>
        <v>0</v>
      </c>
      <c r="L10" s="34">
        <v>128</v>
      </c>
    </row>
    <row r="11" spans="1:11">
      <c r="A11" s="39" t="s">
        <v>74</v>
      </c>
      <c r="B11" s="39"/>
      <c r="C11" s="39" t="s">
        <v>172</v>
      </c>
      <c r="D11" s="39" t="s">
        <v>170</v>
      </c>
      <c r="E11" s="40"/>
      <c r="F11" s="42">
        <f>E11*$L$10*0.95</f>
        <v>0</v>
      </c>
      <c r="G11" s="39"/>
      <c r="H11" s="39"/>
      <c r="I11" s="62">
        <f t="shared" si="0"/>
        <v>0</v>
      </c>
      <c r="J11" s="62">
        <f t="shared" si="1"/>
        <v>0</v>
      </c>
      <c r="K11" s="39">
        <f t="shared" si="2"/>
        <v>0</v>
      </c>
    </row>
    <row r="12" spans="1:11">
      <c r="A12" s="39" t="s">
        <v>75</v>
      </c>
      <c r="B12" s="39" t="s">
        <v>145</v>
      </c>
      <c r="C12" s="39" t="s">
        <v>146</v>
      </c>
      <c r="D12" s="39" t="s">
        <v>121</v>
      </c>
      <c r="E12" s="39">
        <v>70.9</v>
      </c>
      <c r="F12" s="41">
        <f>SUM(F13:F18)</f>
        <v>84350.272</v>
      </c>
      <c r="G12" s="39">
        <f>SUM(G13:G18)</f>
        <v>32074.185</v>
      </c>
      <c r="H12" s="39" t="s">
        <v>0</v>
      </c>
      <c r="I12" s="62">
        <f t="shared" si="0"/>
        <v>1687.01</v>
      </c>
      <c r="J12" s="62">
        <f t="shared" si="1"/>
        <v>4217.51</v>
      </c>
      <c r="K12" s="39">
        <f t="shared" si="2"/>
        <v>122328.977</v>
      </c>
    </row>
    <row r="13" spans="1:11">
      <c r="A13" s="39" t="s">
        <v>77</v>
      </c>
      <c r="B13" s="39"/>
      <c r="C13" s="39" t="s">
        <v>173</v>
      </c>
      <c r="D13" s="39" t="s">
        <v>170</v>
      </c>
      <c r="E13" s="40">
        <v>113.27</v>
      </c>
      <c r="F13" s="42">
        <f>E13*$L$10*0.95</f>
        <v>13773.632</v>
      </c>
      <c r="G13" s="39" t="s">
        <v>0</v>
      </c>
      <c r="H13" s="39"/>
      <c r="I13" s="62">
        <f t="shared" si="0"/>
        <v>275.47</v>
      </c>
      <c r="J13" s="62">
        <f t="shared" si="1"/>
        <v>688.68</v>
      </c>
      <c r="K13" s="39">
        <f t="shared" si="2"/>
        <v>14737.782</v>
      </c>
    </row>
    <row r="14" spans="1:11">
      <c r="A14" s="39" t="s">
        <v>81</v>
      </c>
      <c r="B14" s="39"/>
      <c r="C14" s="39" t="s">
        <v>174</v>
      </c>
      <c r="D14" s="39" t="s">
        <v>170</v>
      </c>
      <c r="E14" s="40">
        <v>295.46</v>
      </c>
      <c r="F14" s="42">
        <f>E14*$L$10*0.95</f>
        <v>35927.936</v>
      </c>
      <c r="G14" s="39" t="s">
        <v>0</v>
      </c>
      <c r="H14" s="39"/>
      <c r="I14" s="62">
        <f t="shared" si="0"/>
        <v>718.56</v>
      </c>
      <c r="J14" s="62">
        <f t="shared" si="1"/>
        <v>1796.4</v>
      </c>
      <c r="K14" s="39">
        <f t="shared" si="2"/>
        <v>38442.896</v>
      </c>
    </row>
    <row r="15" spans="1:11">
      <c r="A15" s="39" t="s">
        <v>157</v>
      </c>
      <c r="B15" s="39"/>
      <c r="C15" s="39" t="s">
        <v>175</v>
      </c>
      <c r="D15" s="39" t="s">
        <v>170</v>
      </c>
      <c r="E15" s="40">
        <v>157.4</v>
      </c>
      <c r="F15" s="42">
        <f>E15*$L$10*0.95</f>
        <v>19139.84</v>
      </c>
      <c r="G15" s="39" t="s">
        <v>0</v>
      </c>
      <c r="H15" s="39"/>
      <c r="I15" s="62">
        <f t="shared" si="0"/>
        <v>382.8</v>
      </c>
      <c r="J15" s="62">
        <f t="shared" si="1"/>
        <v>956.99</v>
      </c>
      <c r="K15" s="39">
        <f t="shared" si="2"/>
        <v>20479.63</v>
      </c>
    </row>
    <row r="16" spans="1:12">
      <c r="A16" s="39" t="s">
        <v>160</v>
      </c>
      <c r="B16" s="39"/>
      <c r="C16" s="39" t="s">
        <v>176</v>
      </c>
      <c r="D16" s="39" t="s">
        <v>177</v>
      </c>
      <c r="E16" s="40">
        <f>7870*0.6</f>
        <v>4722</v>
      </c>
      <c r="F16" s="78" t="s">
        <v>0</v>
      </c>
      <c r="G16" s="42">
        <f>E16*L16*0.95</f>
        <v>17629.587</v>
      </c>
      <c r="H16" s="39" t="s">
        <v>0</v>
      </c>
      <c r="I16" s="62"/>
      <c r="J16" s="62"/>
      <c r="K16" s="39">
        <f t="shared" si="2"/>
        <v>17629.587</v>
      </c>
      <c r="L16" s="34">
        <v>3.93</v>
      </c>
    </row>
    <row r="17" spans="1:12">
      <c r="A17" s="39">
        <v>10</v>
      </c>
      <c r="B17" s="39"/>
      <c r="C17" s="39" t="s">
        <v>178</v>
      </c>
      <c r="D17" s="39" t="s">
        <v>177</v>
      </c>
      <c r="E17" s="40">
        <f>7870*0.4</f>
        <v>3148</v>
      </c>
      <c r="F17" s="42" t="s">
        <v>0</v>
      </c>
      <c r="G17" s="42">
        <f>E17*L17*0.95</f>
        <v>14444.598</v>
      </c>
      <c r="H17" s="39"/>
      <c r="I17" s="62"/>
      <c r="J17" s="62"/>
      <c r="K17" s="39">
        <f t="shared" si="2"/>
        <v>14444.598</v>
      </c>
      <c r="L17" s="34">
        <v>4.83</v>
      </c>
    </row>
    <row r="18" s="34" customFormat="1" spans="1:11">
      <c r="A18" s="39">
        <v>11</v>
      </c>
      <c r="B18" s="39"/>
      <c r="C18" s="39" t="s">
        <v>179</v>
      </c>
      <c r="D18" s="39" t="s">
        <v>170</v>
      </c>
      <c r="E18" s="40">
        <v>127.54</v>
      </c>
      <c r="F18" s="42">
        <f>E18*$L$10*0.95</f>
        <v>15508.864</v>
      </c>
      <c r="G18" s="39" t="s">
        <v>0</v>
      </c>
      <c r="H18" s="39" t="s">
        <v>0</v>
      </c>
      <c r="I18" s="62">
        <f>ROUND(F18*0.02,2)</f>
        <v>310.18</v>
      </c>
      <c r="J18" s="62">
        <f>ROUND(F18*0.05,2)</f>
        <v>775.44</v>
      </c>
      <c r="K18" s="39">
        <f t="shared" si="2"/>
        <v>16594.484</v>
      </c>
    </row>
    <row r="19" spans="1:11">
      <c r="A19" s="39">
        <v>12</v>
      </c>
      <c r="B19" s="39" t="s">
        <v>147</v>
      </c>
      <c r="C19" s="39" t="s">
        <v>148</v>
      </c>
      <c r="D19" s="39" t="s">
        <v>121</v>
      </c>
      <c r="E19" s="39">
        <v>70.9</v>
      </c>
      <c r="F19" s="41">
        <f>SUM(F20:F22)</f>
        <v>9171.072</v>
      </c>
      <c r="G19" s="39">
        <f>SUM(G20:G22)</f>
        <v>30653.65</v>
      </c>
      <c r="H19" s="39"/>
      <c r="I19" s="62">
        <f t="shared" ref="I19:I32" si="3">ROUND(F19*0.02,2)</f>
        <v>183.42</v>
      </c>
      <c r="J19" s="62">
        <f t="shared" ref="J19:J32" si="4">ROUND(F19*0.05,2)</f>
        <v>458.55</v>
      </c>
      <c r="K19" s="39">
        <f t="shared" si="2"/>
        <v>40466.692</v>
      </c>
    </row>
    <row r="20" s="34" customFormat="1" spans="1:12">
      <c r="A20" s="39">
        <v>13</v>
      </c>
      <c r="B20" s="39"/>
      <c r="C20" s="7" t="s">
        <v>148</v>
      </c>
      <c r="D20" s="39" t="s">
        <v>170</v>
      </c>
      <c r="E20" s="44">
        <v>75.42</v>
      </c>
      <c r="F20" s="42">
        <f>E20*$L$10*0.95</f>
        <v>9171.072</v>
      </c>
      <c r="G20" s="41" t="s">
        <v>0</v>
      </c>
      <c r="H20" s="39"/>
      <c r="I20" s="62">
        <f t="shared" si="3"/>
        <v>183.42</v>
      </c>
      <c r="J20" s="62">
        <f t="shared" si="4"/>
        <v>458.55</v>
      </c>
      <c r="K20" s="39">
        <f t="shared" si="2"/>
        <v>9813.042</v>
      </c>
      <c r="L20" s="34">
        <v>821.7552</v>
      </c>
    </row>
    <row r="21" s="34" customFormat="1" spans="1:12">
      <c r="A21" s="39">
        <v>14</v>
      </c>
      <c r="B21" s="39"/>
      <c r="C21" s="7" t="s">
        <v>180</v>
      </c>
      <c r="D21" s="39" t="s">
        <v>181</v>
      </c>
      <c r="E21" s="44">
        <f>+E16*3+E17*5</f>
        <v>29906</v>
      </c>
      <c r="F21" s="42" t="s">
        <v>0</v>
      </c>
      <c r="G21" s="42">
        <f>E21*0.95</f>
        <v>28410.7</v>
      </c>
      <c r="H21" s="39"/>
      <c r="I21" s="62"/>
      <c r="J21" s="62"/>
      <c r="K21" s="39">
        <f t="shared" si="2"/>
        <v>28410.7</v>
      </c>
      <c r="L21" s="34">
        <v>333937.2</v>
      </c>
    </row>
    <row r="22" s="34" customFormat="1" spans="1:13">
      <c r="A22" s="39">
        <v>15</v>
      </c>
      <c r="B22" s="39"/>
      <c r="C22" s="7" t="s">
        <v>182</v>
      </c>
      <c r="D22" s="39" t="s">
        <v>181</v>
      </c>
      <c r="E22" s="44">
        <f>+E17*0.25</f>
        <v>787</v>
      </c>
      <c r="F22" s="42" t="s">
        <v>0</v>
      </c>
      <c r="G22" s="42">
        <f>E22*M22*0.95</f>
        <v>2242.95</v>
      </c>
      <c r="H22" s="39" t="s">
        <v>0</v>
      </c>
      <c r="I22" s="62"/>
      <c r="J22" s="62"/>
      <c r="K22" s="39">
        <f t="shared" ref="K22:K24" si="5">SUM(F22:J22)</f>
        <v>2242.95</v>
      </c>
      <c r="L22" s="34">
        <v>8725.2</v>
      </c>
      <c r="M22" s="34">
        <v>3</v>
      </c>
    </row>
    <row r="23" spans="1:11">
      <c r="A23" s="39">
        <v>16</v>
      </c>
      <c r="B23" s="39" t="s">
        <v>149</v>
      </c>
      <c r="C23" s="7" t="s">
        <v>150</v>
      </c>
      <c r="D23" s="39" t="s">
        <v>121</v>
      </c>
      <c r="E23" s="39">
        <v>70.9</v>
      </c>
      <c r="F23" s="41">
        <f>SUM(F24)</f>
        <v>42315.584</v>
      </c>
      <c r="G23" s="39"/>
      <c r="H23" s="39"/>
      <c r="I23" s="62">
        <f t="shared" si="3"/>
        <v>846.31</v>
      </c>
      <c r="J23" s="62">
        <f t="shared" si="4"/>
        <v>2115.78</v>
      </c>
      <c r="K23" s="39">
        <f t="shared" si="5"/>
        <v>45277.674</v>
      </c>
    </row>
    <row r="24" spans="1:11">
      <c r="A24" s="39">
        <v>17</v>
      </c>
      <c r="B24" s="39"/>
      <c r="C24" s="7" t="s">
        <v>183</v>
      </c>
      <c r="D24" s="39" t="s">
        <v>170</v>
      </c>
      <c r="E24" s="40">
        <v>347.99</v>
      </c>
      <c r="F24" s="42">
        <f>E24*$L$10*0.95</f>
        <v>42315.584</v>
      </c>
      <c r="G24" s="39"/>
      <c r="H24" s="39"/>
      <c r="I24" s="62">
        <f t="shared" si="3"/>
        <v>846.31</v>
      </c>
      <c r="J24" s="62">
        <f t="shared" si="4"/>
        <v>2115.78</v>
      </c>
      <c r="K24" s="39">
        <f t="shared" si="5"/>
        <v>45277.674</v>
      </c>
    </row>
    <row r="25" spans="1:11">
      <c r="A25" s="39">
        <v>18</v>
      </c>
      <c r="B25" s="39"/>
      <c r="C25" s="7" t="s">
        <v>184</v>
      </c>
      <c r="D25" s="39" t="s">
        <v>185</v>
      </c>
      <c r="E25" s="39">
        <v>3</v>
      </c>
      <c r="F25" s="42"/>
      <c r="G25" s="39"/>
      <c r="H25" s="39"/>
      <c r="I25" s="62"/>
      <c r="J25" s="62"/>
      <c r="K25" s="39"/>
    </row>
    <row r="26" spans="1:11">
      <c r="A26" s="39">
        <v>19</v>
      </c>
      <c r="B26" s="39" t="s">
        <v>151</v>
      </c>
      <c r="C26" s="7" t="s">
        <v>152</v>
      </c>
      <c r="D26" s="39" t="s">
        <v>121</v>
      </c>
      <c r="E26" s="39">
        <v>70.9</v>
      </c>
      <c r="F26" s="97">
        <f>SUM(F27:F29)</f>
        <v>2872.192</v>
      </c>
      <c r="G26" s="39">
        <f>SUM(G27:G29)</f>
        <v>4813.1655</v>
      </c>
      <c r="H26" s="39"/>
      <c r="I26" s="62">
        <f t="shared" si="3"/>
        <v>57.44</v>
      </c>
      <c r="J26" s="62">
        <f t="shared" si="4"/>
        <v>143.61</v>
      </c>
      <c r="K26" s="39">
        <f t="shared" ref="K26:K30" si="6">SUM(F26:J26)</f>
        <v>7886.4075</v>
      </c>
    </row>
    <row r="27" spans="1:11">
      <c r="A27" s="39">
        <v>20</v>
      </c>
      <c r="B27" s="39"/>
      <c r="C27" s="7" t="s">
        <v>152</v>
      </c>
      <c r="D27" s="39" t="s">
        <v>170</v>
      </c>
      <c r="E27" s="40">
        <v>23.62</v>
      </c>
      <c r="F27" s="42">
        <f>E27*$L$10*0.95</f>
        <v>2872.192</v>
      </c>
      <c r="G27" s="39" t="s">
        <v>0</v>
      </c>
      <c r="H27" s="39" t="s">
        <v>0</v>
      </c>
      <c r="I27" s="62">
        <f t="shared" si="3"/>
        <v>57.44</v>
      </c>
      <c r="J27" s="62">
        <f t="shared" si="4"/>
        <v>143.61</v>
      </c>
      <c r="K27" s="39">
        <f t="shared" si="6"/>
        <v>3073.242</v>
      </c>
    </row>
    <row r="28" spans="1:13">
      <c r="A28" s="39">
        <v>21</v>
      </c>
      <c r="B28" s="39"/>
      <c r="C28" s="7" t="s">
        <v>176</v>
      </c>
      <c r="D28" s="39" t="s">
        <v>177</v>
      </c>
      <c r="E28" s="40">
        <f>1181*0.6</f>
        <v>708.6</v>
      </c>
      <c r="F28" s="42" t="s">
        <v>0</v>
      </c>
      <c r="G28" s="42">
        <f>E28*M28*0.95</f>
        <v>2645.5581</v>
      </c>
      <c r="H28" s="39"/>
      <c r="I28" s="62"/>
      <c r="J28" s="62"/>
      <c r="K28" s="39">
        <f t="shared" si="6"/>
        <v>2645.5581</v>
      </c>
      <c r="M28" s="34">
        <v>3.93</v>
      </c>
    </row>
    <row r="29" spans="1:13">
      <c r="A29" s="39">
        <v>22</v>
      </c>
      <c r="B29" s="39"/>
      <c r="C29" s="7" t="s">
        <v>178</v>
      </c>
      <c r="D29" s="39" t="s">
        <v>177</v>
      </c>
      <c r="E29" s="40">
        <f>1181*0.4</f>
        <v>472.4</v>
      </c>
      <c r="F29" s="42" t="s">
        <v>0</v>
      </c>
      <c r="G29" s="42">
        <f>E29*M29*0.95</f>
        <v>2167.6074</v>
      </c>
      <c r="H29" s="39"/>
      <c r="I29" s="62"/>
      <c r="J29" s="62"/>
      <c r="K29" s="39">
        <f t="shared" si="6"/>
        <v>2167.6074</v>
      </c>
      <c r="M29" s="34">
        <v>4.83</v>
      </c>
    </row>
    <row r="30" spans="1:11">
      <c r="A30" s="39">
        <v>23</v>
      </c>
      <c r="B30" s="39" t="s">
        <v>153</v>
      </c>
      <c r="C30" s="7" t="s">
        <v>154</v>
      </c>
      <c r="D30" s="39" t="s">
        <v>121</v>
      </c>
      <c r="E30" s="39">
        <v>70.9</v>
      </c>
      <c r="F30" s="41">
        <f>SUM(F31:F32)</f>
        <v>27515.648</v>
      </c>
      <c r="G30" s="39">
        <f>SUM(G31:G32)</f>
        <v>52622.514</v>
      </c>
      <c r="H30" s="39"/>
      <c r="I30" s="62">
        <f t="shared" si="3"/>
        <v>550.31</v>
      </c>
      <c r="J30" s="62">
        <f t="shared" si="4"/>
        <v>1375.78</v>
      </c>
      <c r="K30" s="39">
        <f t="shared" si="6"/>
        <v>82064.252</v>
      </c>
    </row>
    <row r="31" s="34" customFormat="1" spans="1:12">
      <c r="A31" s="39">
        <v>24</v>
      </c>
      <c r="B31" s="60"/>
      <c r="C31" s="98" t="s">
        <v>154</v>
      </c>
      <c r="D31" s="60" t="s">
        <v>170</v>
      </c>
      <c r="E31" s="99">
        <v>226.28</v>
      </c>
      <c r="F31" s="42">
        <f>E31*$L$10*0.95</f>
        <v>27515.648</v>
      </c>
      <c r="G31" s="60" t="s">
        <v>0</v>
      </c>
      <c r="H31" s="60"/>
      <c r="I31" s="62">
        <f t="shared" si="3"/>
        <v>550.31</v>
      </c>
      <c r="J31" s="62">
        <f t="shared" si="4"/>
        <v>1375.78</v>
      </c>
      <c r="K31" s="60">
        <f t="shared" ref="K31:K32" si="7">SUM(F31:J31)</f>
        <v>29441.738</v>
      </c>
      <c r="L31" s="34">
        <v>1760.904</v>
      </c>
    </row>
    <row r="32" s="96" customFormat="1" spans="1:13">
      <c r="A32" s="39">
        <v>25</v>
      </c>
      <c r="B32" s="39"/>
      <c r="C32" s="7" t="s">
        <v>182</v>
      </c>
      <c r="D32" s="39" t="s">
        <v>181</v>
      </c>
      <c r="E32" s="40">
        <f>+(E16+E28)*3+(E17+E29)*0.6</f>
        <v>18464.04</v>
      </c>
      <c r="F32" s="42"/>
      <c r="G32" s="42">
        <f>E32*M32*0.95</f>
        <v>52622.514</v>
      </c>
      <c r="H32" s="39" t="s">
        <v>0</v>
      </c>
      <c r="I32" s="62"/>
      <c r="J32" s="62"/>
      <c r="K32" s="39">
        <f t="shared" si="7"/>
        <v>52622.514</v>
      </c>
      <c r="L32" s="96">
        <v>60751.188</v>
      </c>
      <c r="M32" s="96">
        <v>3</v>
      </c>
    </row>
    <row r="33" s="96" customFormat="1" ht="28.8" customHeight="1" spans="1:11">
      <c r="A33" s="36" t="s">
        <v>0</v>
      </c>
      <c r="B33" s="36" t="s">
        <v>0</v>
      </c>
      <c r="C33" s="85" t="s">
        <v>129</v>
      </c>
      <c r="D33" s="85" t="s">
        <v>0</v>
      </c>
      <c r="E33" s="85" t="s">
        <v>0</v>
      </c>
      <c r="F33" s="85" t="s">
        <v>0</v>
      </c>
      <c r="G33" s="85" t="s">
        <v>0</v>
      </c>
      <c r="H33" s="85" t="s">
        <v>0</v>
      </c>
      <c r="I33" s="85" t="s">
        <v>0</v>
      </c>
      <c r="J33" s="43" t="s">
        <v>186</v>
      </c>
      <c r="K33" s="43" t="s">
        <v>0</v>
      </c>
    </row>
    <row r="34" s="96" customFormat="1" spans="1:11">
      <c r="A34" s="38" t="s">
        <v>130</v>
      </c>
      <c r="B34" s="38" t="s">
        <v>0</v>
      </c>
      <c r="C34" s="38" t="s">
        <v>0</v>
      </c>
      <c r="D34" s="38" t="s">
        <v>0</v>
      </c>
      <c r="E34" s="38" t="s">
        <v>0</v>
      </c>
      <c r="F34" s="38" t="s">
        <v>0</v>
      </c>
      <c r="G34" s="38" t="s">
        <v>0</v>
      </c>
      <c r="H34" s="38" t="s">
        <v>0</v>
      </c>
      <c r="I34" s="38" t="s">
        <v>0</v>
      </c>
      <c r="J34" s="38" t="s">
        <v>0</v>
      </c>
      <c r="K34" s="38" t="s">
        <v>0</v>
      </c>
    </row>
    <row r="35" s="96" customFormat="1" spans="1:11">
      <c r="A35" s="39">
        <v>26</v>
      </c>
      <c r="B35" s="39" t="s">
        <v>155</v>
      </c>
      <c r="C35" s="7" t="s">
        <v>156</v>
      </c>
      <c r="D35" s="39" t="s">
        <v>121</v>
      </c>
      <c r="E35" s="39">
        <v>70.9</v>
      </c>
      <c r="F35" s="41">
        <f>SUM(F36:F37)</f>
        <v>20877.504</v>
      </c>
      <c r="G35" s="39">
        <f>SUM(G36:G37)</f>
        <v>12019.305</v>
      </c>
      <c r="H35" s="39"/>
      <c r="I35" s="62">
        <f>ROUND(F35*0.02,2)</f>
        <v>417.55</v>
      </c>
      <c r="J35" s="62">
        <f>ROUND(F35*0.05,2)</f>
        <v>1043.88</v>
      </c>
      <c r="K35" s="39">
        <f>SUM(F35:J35)</f>
        <v>34358.239</v>
      </c>
    </row>
    <row r="36" s="34" customFormat="1" spans="1:12">
      <c r="A36" s="39">
        <v>27</v>
      </c>
      <c r="B36" s="100"/>
      <c r="C36" s="7" t="s">
        <v>156</v>
      </c>
      <c r="D36" s="100" t="s">
        <v>170</v>
      </c>
      <c r="E36" s="101">
        <v>171.69</v>
      </c>
      <c r="F36" s="42">
        <f>E36*$L$10*0.95</f>
        <v>20877.504</v>
      </c>
      <c r="G36" s="100" t="s">
        <v>0</v>
      </c>
      <c r="H36" s="100"/>
      <c r="I36" s="62">
        <f>ROUND(F36*0.02,2)</f>
        <v>417.55</v>
      </c>
      <c r="J36" s="62">
        <f>ROUND(F36*0.05,2)</f>
        <v>1043.88</v>
      </c>
      <c r="K36" s="39">
        <f>SUM(F36:J36)</f>
        <v>22338.934</v>
      </c>
      <c r="L36" s="34">
        <v>1665.72</v>
      </c>
    </row>
    <row r="37" s="34" customFormat="1" spans="1:13">
      <c r="A37" s="39">
        <v>28</v>
      </c>
      <c r="B37" s="39"/>
      <c r="C37" s="7" t="s">
        <v>187</v>
      </c>
      <c r="D37" s="39" t="s">
        <v>181</v>
      </c>
      <c r="E37" s="40">
        <v>543</v>
      </c>
      <c r="F37" s="42" t="s">
        <v>0</v>
      </c>
      <c r="G37" s="42">
        <f>E37*M37*0.95</f>
        <v>12019.305</v>
      </c>
      <c r="H37" s="39" t="s">
        <v>0</v>
      </c>
      <c r="I37" s="62"/>
      <c r="J37" s="62"/>
      <c r="K37" s="39">
        <f>SUM(F37:J37)</f>
        <v>12019.305</v>
      </c>
      <c r="L37" s="34">
        <v>5282.712</v>
      </c>
      <c r="M37" s="34">
        <v>23.3</v>
      </c>
    </row>
    <row r="38" spans="1:11">
      <c r="A38" s="39">
        <v>29</v>
      </c>
      <c r="B38" s="39" t="s">
        <v>158</v>
      </c>
      <c r="C38" s="7" t="s">
        <v>159</v>
      </c>
      <c r="D38" s="39" t="s">
        <v>121</v>
      </c>
      <c r="E38" s="39">
        <v>70.9</v>
      </c>
      <c r="F38" s="41">
        <f>SUM(F39)</f>
        <v>2155.36</v>
      </c>
      <c r="G38" s="39"/>
      <c r="H38" s="39"/>
      <c r="I38" s="62">
        <f>ROUND(F38*0.02,2)</f>
        <v>43.11</v>
      </c>
      <c r="J38" s="62">
        <f>ROUND(F38*0.05,2)</f>
        <v>107.77</v>
      </c>
      <c r="K38" s="39">
        <f>SUM(F38:J38)</f>
        <v>2306.24</v>
      </c>
    </row>
    <row r="39" spans="1:12">
      <c r="A39" s="39">
        <v>30</v>
      </c>
      <c r="B39" s="39"/>
      <c r="C39" s="7" t="s">
        <v>159</v>
      </c>
      <c r="D39" s="39" t="s">
        <v>121</v>
      </c>
      <c r="E39" s="40">
        <v>70.9</v>
      </c>
      <c r="F39" s="42">
        <f>E39*L39*0.95</f>
        <v>2155.36</v>
      </c>
      <c r="G39" s="39"/>
      <c r="H39" s="39"/>
      <c r="I39" s="62">
        <f>ROUND(F39*0.02,2)</f>
        <v>43.11</v>
      </c>
      <c r="J39" s="62">
        <f>ROUND(F39*0.05,2)</f>
        <v>107.77</v>
      </c>
      <c r="K39" s="39">
        <f>SUM(F39:J39)</f>
        <v>2306.24</v>
      </c>
      <c r="L39" s="34">
        <v>32</v>
      </c>
    </row>
    <row r="40" spans="1:11">
      <c r="A40" s="39">
        <v>31</v>
      </c>
      <c r="B40" s="39"/>
      <c r="C40" s="7" t="s">
        <v>188</v>
      </c>
      <c r="D40" s="39" t="s">
        <v>189</v>
      </c>
      <c r="E40" s="39"/>
      <c r="F40" s="42"/>
      <c r="G40" s="39"/>
      <c r="H40" s="39"/>
      <c r="I40" s="62"/>
      <c r="J40" s="62"/>
      <c r="K40" s="39"/>
    </row>
    <row r="41" spans="1:11">
      <c r="A41" s="39">
        <v>32</v>
      </c>
      <c r="B41" s="39" t="s">
        <v>161</v>
      </c>
      <c r="C41" s="7" t="s">
        <v>162</v>
      </c>
      <c r="D41" s="39" t="s">
        <v>163</v>
      </c>
      <c r="E41" s="40">
        <v>114</v>
      </c>
      <c r="F41" s="42">
        <f>139897.02/1279*E41*0.95</f>
        <v>11845.854</v>
      </c>
      <c r="G41" s="39" t="s">
        <v>0</v>
      </c>
      <c r="H41" s="42">
        <f>371702.98/1279*E41*0.95</f>
        <v>31474.146</v>
      </c>
      <c r="I41" s="62">
        <f t="shared" ref="I41" si="8">ROUND(F41*0.02,2)</f>
        <v>236.92</v>
      </c>
      <c r="J41" s="62">
        <f t="shared" ref="J41" si="9">ROUND(F41*0.05,2)</f>
        <v>592.29</v>
      </c>
      <c r="K41" s="39">
        <f t="shared" ref="K41:K46" si="10">SUM(F41:J41)</f>
        <v>44149.21</v>
      </c>
    </row>
    <row r="42" spans="1:11">
      <c r="A42" s="39">
        <v>33</v>
      </c>
      <c r="B42" s="39"/>
      <c r="C42" s="7" t="s">
        <v>190</v>
      </c>
      <c r="D42" s="39" t="s">
        <v>191</v>
      </c>
      <c r="E42" s="39"/>
      <c r="F42" s="102"/>
      <c r="G42" s="46"/>
      <c r="H42" s="42">
        <f>30917.72/1279*E41*0.95</f>
        <v>2617.97425801407</v>
      </c>
      <c r="I42" s="46"/>
      <c r="J42" s="46"/>
      <c r="K42" s="39">
        <f t="shared" si="10"/>
        <v>2617.97425801407</v>
      </c>
    </row>
    <row r="43" spans="1:11">
      <c r="A43" s="39">
        <v>34</v>
      </c>
      <c r="B43" s="96"/>
      <c r="C43" s="7" t="s">
        <v>192</v>
      </c>
      <c r="D43" s="39" t="s">
        <v>191</v>
      </c>
      <c r="E43" s="103"/>
      <c r="F43" s="104"/>
      <c r="G43" s="103"/>
      <c r="H43" s="42">
        <f>10982.09*0.95</f>
        <v>10432.9855</v>
      </c>
      <c r="I43" s="103"/>
      <c r="J43" s="103"/>
      <c r="K43" s="39">
        <f t="shared" si="10"/>
        <v>10432.9855</v>
      </c>
    </row>
    <row r="44" spans="1:11">
      <c r="A44" s="39">
        <v>35</v>
      </c>
      <c r="B44" s="96"/>
      <c r="C44" s="7" t="s">
        <v>193</v>
      </c>
      <c r="D44" s="39" t="s">
        <v>191</v>
      </c>
      <c r="E44" s="103"/>
      <c r="F44" s="104"/>
      <c r="G44" s="105"/>
      <c r="H44" s="42">
        <f>23176.63/1279*E41*0.95</f>
        <v>1962.49337685692</v>
      </c>
      <c r="I44" s="105"/>
      <c r="J44" s="105"/>
      <c r="K44" s="39">
        <f t="shared" si="10"/>
        <v>1962.49337685692</v>
      </c>
    </row>
    <row r="45" spans="1:11">
      <c r="A45" s="39">
        <v>36</v>
      </c>
      <c r="B45" s="96"/>
      <c r="C45" s="7" t="s">
        <v>194</v>
      </c>
      <c r="D45" s="39" t="s">
        <v>170</v>
      </c>
      <c r="E45" s="103"/>
      <c r="F45" s="42">
        <f>139897.02*0.95</f>
        <v>132902.169</v>
      </c>
      <c r="G45" s="105"/>
      <c r="H45" s="39"/>
      <c r="I45" s="62">
        <f>ROUND(F45*0.02,2)</f>
        <v>2658.04</v>
      </c>
      <c r="J45" s="62">
        <f>ROUND(F45*0.05,2)</f>
        <v>6645.11</v>
      </c>
      <c r="K45" s="39">
        <f t="shared" si="10"/>
        <v>142205.319</v>
      </c>
    </row>
    <row r="46" spans="1:11">
      <c r="A46" s="39">
        <v>37</v>
      </c>
      <c r="B46" s="96"/>
      <c r="C46" s="7" t="s">
        <v>195</v>
      </c>
      <c r="D46" s="39" t="s">
        <v>196</v>
      </c>
      <c r="E46" s="103"/>
      <c r="F46" s="104"/>
      <c r="G46" s="105"/>
      <c r="H46" s="42">
        <f>306626.54/1279*E41*0.95</f>
        <v>25963.7640985145</v>
      </c>
      <c r="I46" s="105"/>
      <c r="J46" s="105"/>
      <c r="K46" s="39">
        <f t="shared" si="10"/>
        <v>25963.7640985145</v>
      </c>
    </row>
    <row r="47" spans="1:13">
      <c r="A47" s="96"/>
      <c r="B47" s="96"/>
      <c r="C47" s="7" t="s">
        <v>164</v>
      </c>
      <c r="D47" s="96"/>
      <c r="E47" s="103"/>
      <c r="F47" s="106">
        <f>SUM(F8,F12,F19,F23,F26,F30,F35,F38,F41,)</f>
        <v>201103.486</v>
      </c>
      <c r="G47" s="106">
        <f t="shared" ref="F47:K47" si="11">SUM(G8,G12,G19,G23,G26,G30,G35,G38,G41,)</f>
        <v>132182.8195</v>
      </c>
      <c r="H47" s="106">
        <f t="shared" si="11"/>
        <v>31474.146</v>
      </c>
      <c r="I47" s="106">
        <f t="shared" si="11"/>
        <v>4022.07</v>
      </c>
      <c r="J47" s="106">
        <f t="shared" si="11"/>
        <v>10055.17</v>
      </c>
      <c r="K47" s="106">
        <f t="shared" si="11"/>
        <v>378837.6915</v>
      </c>
      <c r="M47" s="34">
        <f>ROUND(K47/E38,2)</f>
        <v>5343.27</v>
      </c>
    </row>
    <row r="48" spans="7:11">
      <c r="G48" s="43" t="s">
        <v>29</v>
      </c>
      <c r="H48" s="43"/>
      <c r="I48" s="43"/>
      <c r="J48" s="43"/>
      <c r="K48" s="43"/>
    </row>
    <row r="49" ht="23.4" customHeight="1" spans="1:11">
      <c r="A49"/>
      <c r="B49"/>
      <c r="C49"/>
      <c r="D49"/>
      <c r="E49"/>
      <c r="F49"/>
      <c r="G49"/>
      <c r="H49"/>
      <c r="I49"/>
      <c r="J49"/>
      <c r="K49"/>
    </row>
    <row r="50" spans="1:11">
      <c r="A50"/>
      <c r="B50"/>
      <c r="C50"/>
      <c r="D50"/>
      <c r="E50"/>
      <c r="F50"/>
      <c r="G50"/>
      <c r="H50"/>
      <c r="I50"/>
      <c r="J50"/>
      <c r="K50"/>
    </row>
    <row r="51" spans="1:11">
      <c r="A51"/>
      <c r="B51"/>
      <c r="C51"/>
      <c r="D51"/>
      <c r="E51"/>
      <c r="F51"/>
      <c r="G51"/>
      <c r="H51"/>
      <c r="I51"/>
      <c r="J51"/>
      <c r="K51"/>
    </row>
    <row r="52" spans="1:11">
      <c r="A52"/>
      <c r="B52"/>
      <c r="C52"/>
      <c r="D52"/>
      <c r="E52"/>
      <c r="F52"/>
      <c r="G52"/>
      <c r="H52"/>
      <c r="I52"/>
      <c r="J52"/>
      <c r="K52"/>
    </row>
    <row r="53" spans="1:11">
      <c r="A53"/>
      <c r="B53"/>
      <c r="C53"/>
      <c r="D53"/>
      <c r="E53"/>
      <c r="F53"/>
      <c r="G53"/>
      <c r="H53"/>
      <c r="I53"/>
      <c r="J53"/>
      <c r="K53"/>
    </row>
    <row r="54" spans="1:11">
      <c r="A54"/>
      <c r="B54"/>
      <c r="C54"/>
      <c r="D54"/>
      <c r="E54"/>
      <c r="F54"/>
      <c r="G54"/>
      <c r="H54"/>
      <c r="I54"/>
      <c r="J54"/>
      <c r="K54"/>
    </row>
    <row r="55" spans="1:11">
      <c r="A55"/>
      <c r="B55"/>
      <c r="C55"/>
      <c r="D55"/>
      <c r="E55"/>
      <c r="F55"/>
      <c r="G55"/>
      <c r="H55"/>
      <c r="I55"/>
      <c r="J55"/>
      <c r="K55"/>
    </row>
    <row r="56" spans="1:11">
      <c r="A56"/>
      <c r="B56"/>
      <c r="C56"/>
      <c r="D56"/>
      <c r="E56"/>
      <c r="F56"/>
      <c r="G56"/>
      <c r="H56"/>
      <c r="I56"/>
      <c r="J56"/>
      <c r="K56"/>
    </row>
    <row r="57" spans="1:11">
      <c r="A57"/>
      <c r="B57"/>
      <c r="C57"/>
      <c r="D57"/>
      <c r="E57"/>
      <c r="F57"/>
      <c r="G57"/>
      <c r="H57"/>
      <c r="I57"/>
      <c r="J57"/>
      <c r="K57"/>
    </row>
    <row r="58" spans="1:11">
      <c r="A58"/>
      <c r="B58"/>
      <c r="C58"/>
      <c r="D58"/>
      <c r="E58"/>
      <c r="F58"/>
      <c r="G58"/>
      <c r="H58"/>
      <c r="I58"/>
      <c r="J58"/>
      <c r="K58"/>
    </row>
    <row r="59" spans="1:11">
      <c r="A59"/>
      <c r="B59"/>
      <c r="C59"/>
      <c r="D59"/>
      <c r="E59"/>
      <c r="F59"/>
      <c r="G59"/>
      <c r="H59"/>
      <c r="I59"/>
      <c r="J59"/>
      <c r="K59"/>
    </row>
    <row r="60" spans="1:11">
      <c r="A60"/>
      <c r="B60"/>
      <c r="C60"/>
      <c r="D60"/>
      <c r="E60"/>
      <c r="F60"/>
      <c r="G60"/>
      <c r="H60"/>
      <c r="I60"/>
      <c r="J60"/>
      <c r="K60"/>
    </row>
    <row r="61" spans="1:11">
      <c r="A61"/>
      <c r="B61"/>
      <c r="C61"/>
      <c r="D61"/>
      <c r="E61"/>
      <c r="F61"/>
      <c r="G61"/>
      <c r="H61"/>
      <c r="I61"/>
      <c r="J61"/>
      <c r="K61"/>
    </row>
    <row r="62" spans="1:11">
      <c r="A62"/>
      <c r="B62"/>
      <c r="C62"/>
      <c r="D62"/>
      <c r="E62"/>
      <c r="F62"/>
      <c r="G62"/>
      <c r="H62"/>
      <c r="I62"/>
      <c r="J62"/>
      <c r="K62"/>
    </row>
    <row r="63" spans="1:11">
      <c r="A63"/>
      <c r="B63"/>
      <c r="C63"/>
      <c r="D63"/>
      <c r="E63"/>
      <c r="F63"/>
      <c r="G63"/>
      <c r="H63"/>
      <c r="I63"/>
      <c r="J63"/>
      <c r="K63"/>
    </row>
    <row r="64" spans="1:11">
      <c r="A64"/>
      <c r="B64"/>
      <c r="C64"/>
      <c r="D64"/>
      <c r="E64"/>
      <c r="F64"/>
      <c r="G64"/>
      <c r="H64"/>
      <c r="I64"/>
      <c r="J64"/>
      <c r="K64"/>
    </row>
    <row r="65" spans="1:11">
      <c r="A65"/>
      <c r="B65"/>
      <c r="C65"/>
      <c r="D65"/>
      <c r="E65"/>
      <c r="F65"/>
      <c r="G65"/>
      <c r="H65"/>
      <c r="I65"/>
      <c r="J65"/>
      <c r="K65"/>
    </row>
    <row r="66" spans="1:11">
      <c r="A66"/>
      <c r="B66"/>
      <c r="C66"/>
      <c r="D66"/>
      <c r="E66"/>
      <c r="F66"/>
      <c r="G66"/>
      <c r="H66"/>
      <c r="I66"/>
      <c r="J66"/>
      <c r="K66"/>
    </row>
    <row r="67" spans="1:11">
      <c r="A67"/>
      <c r="B67"/>
      <c r="C67"/>
      <c r="D67"/>
      <c r="E67"/>
      <c r="F67"/>
      <c r="G67"/>
      <c r="H67"/>
      <c r="I67"/>
      <c r="J67"/>
      <c r="K67"/>
    </row>
    <row r="68" spans="1:11">
      <c r="A68"/>
      <c r="B68"/>
      <c r="C68"/>
      <c r="D68"/>
      <c r="E68"/>
      <c r="F68"/>
      <c r="G68"/>
      <c r="H68"/>
      <c r="I68"/>
      <c r="J68"/>
      <c r="K68"/>
    </row>
    <row r="69" spans="1:11">
      <c r="A69"/>
      <c r="B69"/>
      <c r="C69"/>
      <c r="D69"/>
      <c r="E69"/>
      <c r="F69"/>
      <c r="G69"/>
      <c r="H69"/>
      <c r="I69"/>
      <c r="J69"/>
      <c r="K69"/>
    </row>
    <row r="70" spans="1:11">
      <c r="A70"/>
      <c r="B70"/>
      <c r="C70"/>
      <c r="D70"/>
      <c r="E70"/>
      <c r="F70"/>
      <c r="G70"/>
      <c r="H70"/>
      <c r="I70"/>
      <c r="J70"/>
      <c r="K70"/>
    </row>
    <row r="71" ht="173.4" customHeight="1" spans="1:11">
      <c r="A71"/>
      <c r="B71"/>
      <c r="C71"/>
      <c r="D71"/>
      <c r="E71"/>
      <c r="F71"/>
      <c r="G71"/>
      <c r="H71"/>
      <c r="I71"/>
      <c r="J71"/>
      <c r="K71"/>
    </row>
    <row r="72" ht="20.4" customHeight="1" spans="1:11">
      <c r="A72"/>
      <c r="B72"/>
      <c r="C72"/>
      <c r="D72"/>
      <c r="E72"/>
      <c r="F72"/>
      <c r="G72"/>
      <c r="H72"/>
      <c r="I72"/>
      <c r="J72"/>
      <c r="K72"/>
    </row>
    <row r="73" spans="1:11">
      <c r="A73"/>
      <c r="B73"/>
      <c r="C73"/>
      <c r="D73"/>
      <c r="E73"/>
      <c r="F73"/>
      <c r="G73"/>
      <c r="H73"/>
      <c r="I73"/>
      <c r="J73"/>
      <c r="K73"/>
    </row>
    <row r="74" spans="1:11">
      <c r="A74"/>
      <c r="B74"/>
      <c r="C74"/>
      <c r="D74"/>
      <c r="E74"/>
      <c r="F74"/>
      <c r="G74"/>
      <c r="H74"/>
      <c r="I74"/>
      <c r="J74"/>
      <c r="K74"/>
    </row>
    <row r="75" spans="1:11">
      <c r="A75"/>
      <c r="B75"/>
      <c r="C75"/>
      <c r="D75"/>
      <c r="E75"/>
      <c r="F75"/>
      <c r="G75"/>
      <c r="H75"/>
      <c r="I75"/>
      <c r="J75"/>
      <c r="K75"/>
    </row>
    <row r="76" spans="1:11">
      <c r="A76"/>
      <c r="B76"/>
      <c r="C76"/>
      <c r="D76"/>
      <c r="E76"/>
      <c r="F76"/>
      <c r="G76"/>
      <c r="H76"/>
      <c r="I76"/>
      <c r="J76"/>
      <c r="K76"/>
    </row>
    <row r="77" spans="1:11">
      <c r="A77"/>
      <c r="B77"/>
      <c r="C77"/>
      <c r="D77"/>
      <c r="E77"/>
      <c r="F77"/>
      <c r="G77"/>
      <c r="H77"/>
      <c r="I77"/>
      <c r="J77"/>
      <c r="K77"/>
    </row>
    <row r="78" spans="1:11">
      <c r="A78"/>
      <c r="B78"/>
      <c r="C78"/>
      <c r="D78"/>
      <c r="E78"/>
      <c r="F78"/>
      <c r="G78"/>
      <c r="H78"/>
      <c r="I78"/>
      <c r="J78"/>
      <c r="K78"/>
    </row>
    <row r="79" spans="1:11">
      <c r="A79"/>
      <c r="B79"/>
      <c r="C79"/>
      <c r="D79"/>
      <c r="E79"/>
      <c r="F79"/>
      <c r="G79"/>
      <c r="H79"/>
      <c r="I79"/>
      <c r="J79"/>
      <c r="K79"/>
    </row>
    <row r="80" spans="1:11">
      <c r="A80"/>
      <c r="B80"/>
      <c r="C80"/>
      <c r="D80"/>
      <c r="E80"/>
      <c r="F80"/>
      <c r="G80"/>
      <c r="H80"/>
      <c r="I80"/>
      <c r="J80"/>
      <c r="K80"/>
    </row>
    <row r="81" spans="1:11">
      <c r="A81"/>
      <c r="B81"/>
      <c r="C81"/>
      <c r="D81"/>
      <c r="E81"/>
      <c r="F81"/>
      <c r="G81"/>
      <c r="H81"/>
      <c r="I81"/>
      <c r="J81"/>
      <c r="K81"/>
    </row>
    <row r="82" spans="1:11">
      <c r="A82"/>
      <c r="B82"/>
      <c r="C82"/>
      <c r="D82"/>
      <c r="E82"/>
      <c r="F82"/>
      <c r="G82"/>
      <c r="H82"/>
      <c r="I82"/>
      <c r="J82"/>
      <c r="K82"/>
    </row>
    <row r="83" spans="1:11">
      <c r="A83"/>
      <c r="B83"/>
      <c r="C83"/>
      <c r="D83"/>
      <c r="E83"/>
      <c r="F83"/>
      <c r="G83"/>
      <c r="H83"/>
      <c r="I83"/>
      <c r="J83"/>
      <c r="K83"/>
    </row>
    <row r="84" spans="1:11">
      <c r="A84"/>
      <c r="B84"/>
      <c r="C84"/>
      <c r="D84"/>
      <c r="E84"/>
      <c r="F84"/>
      <c r="G84"/>
      <c r="H84"/>
      <c r="I84"/>
      <c r="J84"/>
      <c r="K84"/>
    </row>
    <row r="85" spans="1:11">
      <c r="A85"/>
      <c r="B85"/>
      <c r="C85"/>
      <c r="D85"/>
      <c r="E85"/>
      <c r="F85"/>
      <c r="G85"/>
      <c r="H85"/>
      <c r="I85"/>
      <c r="J85"/>
      <c r="K85"/>
    </row>
    <row r="86" spans="1:11">
      <c r="A86"/>
      <c r="B86"/>
      <c r="C86"/>
      <c r="D86"/>
      <c r="E86"/>
      <c r="F86"/>
      <c r="G86"/>
      <c r="H86"/>
      <c r="I86"/>
      <c r="J86"/>
      <c r="K86"/>
    </row>
    <row r="87" spans="1:11">
      <c r="A87"/>
      <c r="B87"/>
      <c r="C87"/>
      <c r="D87"/>
      <c r="E87"/>
      <c r="F87"/>
      <c r="G87"/>
      <c r="H87"/>
      <c r="I87"/>
      <c r="J87"/>
      <c r="K87"/>
    </row>
    <row r="88" spans="1:11">
      <c r="A88"/>
      <c r="B88"/>
      <c r="C88"/>
      <c r="D88"/>
      <c r="E88"/>
      <c r="F88"/>
      <c r="G88"/>
      <c r="H88"/>
      <c r="I88"/>
      <c r="J88"/>
      <c r="K88"/>
    </row>
    <row r="89" spans="1:11">
      <c r="A89"/>
      <c r="B89"/>
      <c r="C89"/>
      <c r="D89"/>
      <c r="E89"/>
      <c r="F89"/>
      <c r="G89"/>
      <c r="H89"/>
      <c r="I89"/>
      <c r="J89"/>
      <c r="K89"/>
    </row>
    <row r="90" spans="1:11">
      <c r="A90"/>
      <c r="B90"/>
      <c r="C90"/>
      <c r="D90"/>
      <c r="E90"/>
      <c r="F90"/>
      <c r="G90"/>
      <c r="H90"/>
      <c r="I90"/>
      <c r="J90"/>
      <c r="K90"/>
    </row>
    <row r="91" spans="1:11">
      <c r="A91"/>
      <c r="B91"/>
      <c r="C91"/>
      <c r="D91"/>
      <c r="E91"/>
      <c r="F91"/>
      <c r="G91"/>
      <c r="H91"/>
      <c r="I91"/>
      <c r="J91"/>
      <c r="K91"/>
    </row>
    <row r="92" spans="1:11">
      <c r="A92"/>
      <c r="B92"/>
      <c r="C92"/>
      <c r="D92"/>
      <c r="E92"/>
      <c r="F92"/>
      <c r="G92"/>
      <c r="H92"/>
      <c r="I92"/>
      <c r="J92"/>
      <c r="K92"/>
    </row>
    <row r="93" spans="1:13">
      <c r="A93"/>
      <c r="B93"/>
      <c r="C93"/>
      <c r="D93"/>
      <c r="E93"/>
      <c r="F93"/>
      <c r="G93"/>
      <c r="H93"/>
      <c r="I93"/>
      <c r="J93"/>
      <c r="K93"/>
      <c r="M93" s="34" t="e">
        <f>ROUND(K93/E88,2)</f>
        <v>#DIV/0!</v>
      </c>
    </row>
    <row r="94" spans="1:11">
      <c r="A94"/>
      <c r="B94"/>
      <c r="C94"/>
      <c r="D94"/>
      <c r="E94"/>
      <c r="F94"/>
      <c r="G94"/>
      <c r="H94"/>
      <c r="I94"/>
      <c r="J94"/>
      <c r="K94"/>
    </row>
    <row r="95" ht="167.4" customHeight="1" spans="1:11">
      <c r="A95"/>
      <c r="B95"/>
      <c r="C95"/>
      <c r="D95"/>
      <c r="E95"/>
      <c r="F95"/>
      <c r="G95"/>
      <c r="H95"/>
      <c r="I95"/>
      <c r="J95"/>
      <c r="K95"/>
    </row>
    <row r="96" ht="24.6" customHeight="1" spans="1:11">
      <c r="A96"/>
      <c r="B96"/>
      <c r="C96"/>
      <c r="D96"/>
      <c r="E96"/>
      <c r="F96"/>
      <c r="G96"/>
      <c r="H96"/>
      <c r="I96"/>
      <c r="J96"/>
      <c r="K96"/>
    </row>
    <row r="97" spans="1:11">
      <c r="A97"/>
      <c r="B97"/>
      <c r="C97"/>
      <c r="D97"/>
      <c r="E97"/>
      <c r="F97"/>
      <c r="G97"/>
      <c r="H97"/>
      <c r="I97"/>
      <c r="J97"/>
      <c r="K97"/>
    </row>
    <row r="98" spans="1:11">
      <c r="A98"/>
      <c r="B98"/>
      <c r="C98"/>
      <c r="D98"/>
      <c r="E98"/>
      <c r="F98"/>
      <c r="G98"/>
      <c r="H98"/>
      <c r="I98"/>
      <c r="J98"/>
      <c r="K98"/>
    </row>
    <row r="99" spans="1:11">
      <c r="A99"/>
      <c r="B99"/>
      <c r="C99"/>
      <c r="D99"/>
      <c r="E99"/>
      <c r="F99"/>
      <c r="G99"/>
      <c r="H99"/>
      <c r="I99"/>
      <c r="J99"/>
      <c r="K99"/>
    </row>
    <row r="100" spans="1:11">
      <c r="A100"/>
      <c r="B100"/>
      <c r="C100"/>
      <c r="D100"/>
      <c r="E100"/>
      <c r="F100"/>
      <c r="G100"/>
      <c r="H100"/>
      <c r="I100"/>
      <c r="J100"/>
      <c r="K100"/>
    </row>
    <row r="101" spans="1:11">
      <c r="A101"/>
      <c r="B101"/>
      <c r="C101"/>
      <c r="D101"/>
      <c r="E101"/>
      <c r="F101"/>
      <c r="G101"/>
      <c r="H101"/>
      <c r="I101"/>
      <c r="J101"/>
      <c r="K101"/>
    </row>
    <row r="102" spans="1:11">
      <c r="A102"/>
      <c r="B102"/>
      <c r="C102"/>
      <c r="D102"/>
      <c r="E102"/>
      <c r="F102"/>
      <c r="G102"/>
      <c r="H102"/>
      <c r="I102"/>
      <c r="J102"/>
      <c r="K102"/>
    </row>
    <row r="103" spans="1:11">
      <c r="A103"/>
      <c r="B103"/>
      <c r="C103"/>
      <c r="D103"/>
      <c r="E103"/>
      <c r="F103"/>
      <c r="G103"/>
      <c r="H103"/>
      <c r="I103"/>
      <c r="J103"/>
      <c r="K103"/>
    </row>
    <row r="104" spans="1:11">
      <c r="A104"/>
      <c r="B104"/>
      <c r="C104"/>
      <c r="D104"/>
      <c r="E104"/>
      <c r="F104"/>
      <c r="G104"/>
      <c r="H104"/>
      <c r="I104"/>
      <c r="J104"/>
      <c r="K104"/>
    </row>
    <row r="105" spans="1:11">
      <c r="A105"/>
      <c r="B105"/>
      <c r="C105"/>
      <c r="D105"/>
      <c r="E105"/>
      <c r="F105"/>
      <c r="G105"/>
      <c r="H105"/>
      <c r="I105"/>
      <c r="J105"/>
      <c r="K105"/>
    </row>
    <row r="106" spans="1:11">
      <c r="A106"/>
      <c r="B106"/>
      <c r="C106"/>
      <c r="D106"/>
      <c r="E106"/>
      <c r="F106"/>
      <c r="G106"/>
      <c r="H106"/>
      <c r="I106"/>
      <c r="J106"/>
      <c r="K106"/>
    </row>
    <row r="107" spans="1:11">
      <c r="A107"/>
      <c r="B107"/>
      <c r="C107"/>
      <c r="D107"/>
      <c r="E107"/>
      <c r="F107"/>
      <c r="G107"/>
      <c r="H107"/>
      <c r="I107"/>
      <c r="J107"/>
      <c r="K107"/>
    </row>
    <row r="108" spans="1:11">
      <c r="A108"/>
      <c r="B108"/>
      <c r="C108"/>
      <c r="D108"/>
      <c r="E108"/>
      <c r="F108"/>
      <c r="G108"/>
      <c r="H108"/>
      <c r="I108"/>
      <c r="J108"/>
      <c r="K108"/>
    </row>
    <row r="109" spans="1:11">
      <c r="A109"/>
      <c r="B109"/>
      <c r="C109"/>
      <c r="D109"/>
      <c r="E109"/>
      <c r="F109"/>
      <c r="G109"/>
      <c r="H109"/>
      <c r="I109"/>
      <c r="J109"/>
      <c r="K109"/>
    </row>
    <row r="110" spans="1:11">
      <c r="A110"/>
      <c r="B110"/>
      <c r="C110"/>
      <c r="D110"/>
      <c r="E110"/>
      <c r="F110"/>
      <c r="G110"/>
      <c r="H110"/>
      <c r="I110"/>
      <c r="J110"/>
      <c r="K110"/>
    </row>
    <row r="111" spans="1:11">
      <c r="A111"/>
      <c r="B111"/>
      <c r="C111"/>
      <c r="D111"/>
      <c r="E111"/>
      <c r="F111"/>
      <c r="G111"/>
      <c r="H111"/>
      <c r="I111"/>
      <c r="J111"/>
      <c r="K111"/>
    </row>
    <row r="112" spans="1:11">
      <c r="A112"/>
      <c r="B112"/>
      <c r="C112"/>
      <c r="D112"/>
      <c r="E112"/>
      <c r="F112"/>
      <c r="G112"/>
      <c r="H112"/>
      <c r="I112"/>
      <c r="J112"/>
      <c r="K112"/>
    </row>
    <row r="113" spans="1:11">
      <c r="A113"/>
      <c r="B113"/>
      <c r="C113"/>
      <c r="D113"/>
      <c r="E113"/>
      <c r="F113"/>
      <c r="G113"/>
      <c r="H113"/>
      <c r="I113"/>
      <c r="J113"/>
      <c r="K113"/>
    </row>
    <row r="114" spans="1:11">
      <c r="A114"/>
      <c r="B114"/>
      <c r="C114"/>
      <c r="D114"/>
      <c r="E114"/>
      <c r="F114"/>
      <c r="G114"/>
      <c r="H114"/>
      <c r="I114"/>
      <c r="J114"/>
      <c r="K114"/>
    </row>
    <row r="115" spans="1:11">
      <c r="A115"/>
      <c r="B115"/>
      <c r="C115"/>
      <c r="D115"/>
      <c r="E115"/>
      <c r="F115"/>
      <c r="G115"/>
      <c r="H115"/>
      <c r="I115"/>
      <c r="J115"/>
      <c r="K115"/>
    </row>
    <row r="116" spans="1:11">
      <c r="A116"/>
      <c r="B116"/>
      <c r="C116"/>
      <c r="D116"/>
      <c r="E116"/>
      <c r="F116"/>
      <c r="G116"/>
      <c r="H116"/>
      <c r="I116"/>
      <c r="J116"/>
      <c r="K116"/>
    </row>
    <row r="117" spans="1:11">
      <c r="A117"/>
      <c r="B117"/>
      <c r="C117"/>
      <c r="D117"/>
      <c r="E117"/>
      <c r="F117"/>
      <c r="G117"/>
      <c r="H117"/>
      <c r="I117"/>
      <c r="J117"/>
      <c r="K117"/>
    </row>
    <row r="118" ht="168.6" customHeight="1" spans="1:11">
      <c r="A118"/>
      <c r="B118"/>
      <c r="C118"/>
      <c r="D118"/>
      <c r="E118"/>
      <c r="F118"/>
      <c r="G118"/>
      <c r="H118"/>
      <c r="I118"/>
      <c r="J118"/>
      <c r="K118"/>
    </row>
    <row r="119" ht="25.8" customHeight="1" spans="1:11">
      <c r="A119"/>
      <c r="B119"/>
      <c r="C119"/>
      <c r="D119"/>
      <c r="E119"/>
      <c r="F119"/>
      <c r="G119"/>
      <c r="H119"/>
      <c r="I119"/>
      <c r="J119"/>
      <c r="K119"/>
    </row>
    <row r="120" spans="1:11">
      <c r="A120"/>
      <c r="B120"/>
      <c r="C120"/>
      <c r="D120"/>
      <c r="E120"/>
      <c r="F120"/>
      <c r="G120"/>
      <c r="H120"/>
      <c r="I120"/>
      <c r="J120"/>
      <c r="K120"/>
    </row>
    <row r="121" spans="1:11">
      <c r="A121"/>
      <c r="B121"/>
      <c r="C121"/>
      <c r="D121"/>
      <c r="E121"/>
      <c r="F121"/>
      <c r="G121"/>
      <c r="H121"/>
      <c r="I121"/>
      <c r="J121"/>
      <c r="K121"/>
    </row>
    <row r="122" spans="1:11">
      <c r="A122"/>
      <c r="B122"/>
      <c r="C122"/>
      <c r="D122"/>
      <c r="E122"/>
      <c r="F122"/>
      <c r="G122"/>
      <c r="H122"/>
      <c r="I122"/>
      <c r="J122"/>
      <c r="K122"/>
    </row>
    <row r="123" spans="1:11">
      <c r="A123"/>
      <c r="B123"/>
      <c r="C123"/>
      <c r="D123"/>
      <c r="E123"/>
      <c r="F123"/>
      <c r="G123"/>
      <c r="H123"/>
      <c r="I123"/>
      <c r="J123"/>
      <c r="K123"/>
    </row>
    <row r="124" spans="1:11">
      <c r="A124"/>
      <c r="B124"/>
      <c r="C124"/>
      <c r="D124"/>
      <c r="E124"/>
      <c r="F124"/>
      <c r="G124"/>
      <c r="H124"/>
      <c r="I124"/>
      <c r="J124"/>
      <c r="K124"/>
    </row>
    <row r="125" spans="1:11">
      <c r="A125"/>
      <c r="B125"/>
      <c r="C125"/>
      <c r="D125"/>
      <c r="E125"/>
      <c r="F125"/>
      <c r="G125"/>
      <c r="H125"/>
      <c r="I125"/>
      <c r="J125"/>
      <c r="K125"/>
    </row>
    <row r="126" spans="1:11">
      <c r="A126"/>
      <c r="B126"/>
      <c r="C126"/>
      <c r="D126"/>
      <c r="E126"/>
      <c r="F126"/>
      <c r="G126"/>
      <c r="H126"/>
      <c r="I126"/>
      <c r="J126"/>
      <c r="K126"/>
    </row>
    <row r="127" spans="1:11">
      <c r="A127"/>
      <c r="B127"/>
      <c r="C127"/>
      <c r="D127"/>
      <c r="E127"/>
      <c r="F127"/>
      <c r="G127"/>
      <c r="H127"/>
      <c r="I127"/>
      <c r="J127"/>
      <c r="K127"/>
    </row>
    <row r="128" spans="1:11">
      <c r="A128"/>
      <c r="B128"/>
      <c r="C128"/>
      <c r="D128"/>
      <c r="E128"/>
      <c r="F128"/>
      <c r="G128"/>
      <c r="H128"/>
      <c r="I128"/>
      <c r="J128"/>
      <c r="K128"/>
    </row>
    <row r="129" spans="1:11">
      <c r="A129"/>
      <c r="B129"/>
      <c r="C129"/>
      <c r="D129"/>
      <c r="E129"/>
      <c r="F129"/>
      <c r="G129"/>
      <c r="H129"/>
      <c r="I129"/>
      <c r="J129"/>
      <c r="K129"/>
    </row>
    <row r="130" spans="1:11">
      <c r="A130"/>
      <c r="B130"/>
      <c r="C130"/>
      <c r="D130"/>
      <c r="E130"/>
      <c r="F130"/>
      <c r="G130"/>
      <c r="H130"/>
      <c r="I130"/>
      <c r="J130"/>
      <c r="K130"/>
    </row>
    <row r="131" spans="1:11">
      <c r="A131"/>
      <c r="B131"/>
      <c r="C131"/>
      <c r="D131"/>
      <c r="E131"/>
      <c r="F131"/>
      <c r="G131"/>
      <c r="H131"/>
      <c r="I131"/>
      <c r="J131"/>
      <c r="K131"/>
    </row>
    <row r="132" spans="1:11">
      <c r="A132"/>
      <c r="B132"/>
      <c r="C132"/>
      <c r="D132"/>
      <c r="E132"/>
      <c r="F132"/>
      <c r="G132"/>
      <c r="H132"/>
      <c r="I132"/>
      <c r="J132"/>
      <c r="K132"/>
    </row>
    <row r="133" spans="1:11">
      <c r="A133"/>
      <c r="B133"/>
      <c r="C133"/>
      <c r="D133"/>
      <c r="E133"/>
      <c r="F133"/>
      <c r="G133"/>
      <c r="H133"/>
      <c r="I133"/>
      <c r="J133"/>
      <c r="K133"/>
    </row>
    <row r="134" spans="1:11">
      <c r="A134"/>
      <c r="B134"/>
      <c r="C134"/>
      <c r="D134"/>
      <c r="E134"/>
      <c r="F134"/>
      <c r="G134"/>
      <c r="H134"/>
      <c r="I134"/>
      <c r="J134"/>
      <c r="K134"/>
    </row>
    <row r="135" spans="1:11">
      <c r="A135"/>
      <c r="B135"/>
      <c r="C135"/>
      <c r="D135"/>
      <c r="E135"/>
      <c r="F135"/>
      <c r="G135"/>
      <c r="H135"/>
      <c r="I135"/>
      <c r="J135"/>
      <c r="K135"/>
    </row>
    <row r="136" spans="1:11">
      <c r="A136"/>
      <c r="B136"/>
      <c r="C136"/>
      <c r="D136"/>
      <c r="E136"/>
      <c r="F136"/>
      <c r="G136"/>
      <c r="H136"/>
      <c r="I136"/>
      <c r="J136"/>
      <c r="K136"/>
    </row>
    <row r="137" spans="1:11">
      <c r="A137"/>
      <c r="B137"/>
      <c r="C137"/>
      <c r="D137"/>
      <c r="E137"/>
      <c r="F137"/>
      <c r="G137"/>
      <c r="H137"/>
      <c r="I137"/>
      <c r="J137"/>
      <c r="K137"/>
    </row>
    <row r="138" spans="1:11">
      <c r="A138"/>
      <c r="B138"/>
      <c r="C138"/>
      <c r="D138"/>
      <c r="E138"/>
      <c r="F138"/>
      <c r="G138"/>
      <c r="H138"/>
      <c r="I138"/>
      <c r="J138"/>
      <c r="K138"/>
    </row>
    <row r="139" spans="1:11">
      <c r="A139"/>
      <c r="B139"/>
      <c r="C139"/>
      <c r="D139"/>
      <c r="E139"/>
      <c r="F139"/>
      <c r="G139"/>
      <c r="H139"/>
      <c r="I139"/>
      <c r="J139"/>
      <c r="K139"/>
    </row>
    <row r="140" spans="1:13">
      <c r="A140"/>
      <c r="B140"/>
      <c r="C140"/>
      <c r="D140"/>
      <c r="E140"/>
      <c r="F140"/>
      <c r="G140"/>
      <c r="H140"/>
      <c r="I140"/>
      <c r="J140"/>
      <c r="K140"/>
      <c r="M140" s="34" t="e">
        <f>ROUND(K140/E135,2)</f>
        <v>#DIV/0!</v>
      </c>
    </row>
    <row r="141" ht="162" customHeight="1" spans="1:11">
      <c r="A141"/>
      <c r="B141"/>
      <c r="C141"/>
      <c r="D141"/>
      <c r="E141"/>
      <c r="F141"/>
      <c r="G141"/>
      <c r="H141"/>
      <c r="I141"/>
      <c r="J141"/>
      <c r="K141"/>
    </row>
    <row r="142" spans="1:11">
      <c r="A142"/>
      <c r="B142"/>
      <c r="C142"/>
      <c r="D142"/>
      <c r="E142"/>
      <c r="F142"/>
      <c r="G142"/>
      <c r="H142"/>
      <c r="I142"/>
      <c r="J142"/>
      <c r="K142"/>
    </row>
  </sheetData>
  <mergeCells count="24">
    <mergeCell ref="A1:B1"/>
    <mergeCell ref="C1:I1"/>
    <mergeCell ref="J1:K1"/>
    <mergeCell ref="A2:K2"/>
    <mergeCell ref="A3:B3"/>
    <mergeCell ref="C3:I3"/>
    <mergeCell ref="J3:K3"/>
    <mergeCell ref="A4:B4"/>
    <mergeCell ref="C4:I4"/>
    <mergeCell ref="J4:K4"/>
    <mergeCell ref="A5:B5"/>
    <mergeCell ref="C5:I5"/>
    <mergeCell ref="J5:K5"/>
    <mergeCell ref="F6:K6"/>
    <mergeCell ref="A33:B33"/>
    <mergeCell ref="C33:I33"/>
    <mergeCell ref="J33:K33"/>
    <mergeCell ref="A34:K34"/>
    <mergeCell ref="G48:K48"/>
    <mergeCell ref="A6:A7"/>
    <mergeCell ref="B6:B7"/>
    <mergeCell ref="C6:C7"/>
    <mergeCell ref="D6:D7"/>
    <mergeCell ref="E6:E7"/>
  </mergeCells>
  <pageMargins left="0.708661417322835" right="0.708661417322835" top="0.748031496062992" bottom="0.748031496062992" header="0.31496062992126" footer="0.31496062992126"/>
  <pageSetup paperSize="9" orientation="landscape"/>
  <headerFooter/>
  <rowBreaks count="1" manualBreakCount="1">
    <brk id="32" max="10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Q59"/>
  <sheetViews>
    <sheetView view="pageBreakPreview" zoomScaleNormal="100" workbookViewId="0">
      <selection activeCell="C3" sqref="C3:J3"/>
    </sheetView>
  </sheetViews>
  <sheetFormatPr defaultColWidth="9" defaultRowHeight="14.4"/>
  <cols>
    <col min="5" max="5" width="9" customWidth="1"/>
    <col min="6" max="6" width="28.8796296296296" customWidth="1"/>
    <col min="7" max="7" width="13.7777777777778" customWidth="1"/>
    <col min="8" max="8" width="7" customWidth="1"/>
    <col min="9" max="9" width="11.7314814814815"/>
    <col min="10" max="10" width="4.44444444444444" customWidth="1"/>
    <col min="11" max="11" width="5.11111111111111" customWidth="1"/>
    <col min="12" max="12" width="11.3333333333333" customWidth="1"/>
    <col min="13" max="13" width="7.33333333333333" customWidth="1"/>
    <col min="14" max="14" width="12.8888888888889"/>
    <col min="15" max="15" width="9.66666666666667"/>
    <col min="16" max="17" width="12.8888888888889"/>
  </cols>
  <sheetData>
    <row r="1" ht="20.4" spans="1:13">
      <c r="A1" s="1" t="s">
        <v>197</v>
      </c>
      <c r="B1" s="1"/>
      <c r="C1" s="1"/>
      <c r="D1" s="1"/>
      <c r="E1" s="1"/>
      <c r="F1" s="1"/>
      <c r="G1" s="1"/>
      <c r="H1" s="1"/>
      <c r="I1" s="1"/>
      <c r="J1" s="1"/>
      <c r="K1" s="1"/>
      <c r="L1" s="9" t="s">
        <v>198</v>
      </c>
      <c r="M1" s="9"/>
    </row>
    <row r="2" ht="21" customHeight="1" spans="1:13">
      <c r="A2" s="20" t="s">
        <v>24</v>
      </c>
      <c r="B2" s="20" t="s">
        <v>0</v>
      </c>
      <c r="C2" s="13" t="s">
        <v>131</v>
      </c>
      <c r="D2" s="13" t="s">
        <v>0</v>
      </c>
      <c r="E2" s="13" t="s">
        <v>0</v>
      </c>
      <c r="F2" s="13" t="s">
        <v>0</v>
      </c>
      <c r="G2" s="13"/>
      <c r="H2" s="13" t="s">
        <v>0</v>
      </c>
      <c r="I2" s="13" t="s">
        <v>0</v>
      </c>
      <c r="J2" s="13" t="s">
        <v>0</v>
      </c>
      <c r="K2" s="13" t="s">
        <v>132</v>
      </c>
      <c r="L2" s="13" t="s">
        <v>0</v>
      </c>
      <c r="M2" s="27"/>
    </row>
    <row r="3" ht="20.4" customHeight="1" spans="1:13">
      <c r="A3" s="20" t="s">
        <v>133</v>
      </c>
      <c r="B3" s="20" t="s">
        <v>0</v>
      </c>
      <c r="C3" s="13" t="s">
        <v>199</v>
      </c>
      <c r="D3" s="13" t="s">
        <v>0</v>
      </c>
      <c r="E3" s="13" t="s">
        <v>0</v>
      </c>
      <c r="F3" s="13" t="s">
        <v>0</v>
      </c>
      <c r="G3" s="13"/>
      <c r="H3" s="13" t="s">
        <v>0</v>
      </c>
      <c r="I3" s="13" t="s">
        <v>0</v>
      </c>
      <c r="J3" s="13" t="s">
        <v>0</v>
      </c>
      <c r="K3" s="13" t="s">
        <v>135</v>
      </c>
      <c r="L3" s="13" t="s">
        <v>0</v>
      </c>
      <c r="M3" s="11"/>
    </row>
    <row r="4" ht="22.2" customHeight="1" spans="1:13">
      <c r="A4" s="20" t="s">
        <v>136</v>
      </c>
      <c r="B4" s="20" t="s">
        <v>0</v>
      </c>
      <c r="C4" s="13" t="s">
        <v>200</v>
      </c>
      <c r="D4" s="13" t="s">
        <v>0</v>
      </c>
      <c r="E4" s="13" t="s">
        <v>0</v>
      </c>
      <c r="F4" s="13" t="s">
        <v>0</v>
      </c>
      <c r="G4" s="13"/>
      <c r="H4" s="13" t="s">
        <v>0</v>
      </c>
      <c r="I4" s="13" t="s">
        <v>0</v>
      </c>
      <c r="J4" s="13" t="s">
        <v>0</v>
      </c>
      <c r="K4" s="28"/>
      <c r="L4" s="28"/>
      <c r="M4" s="11"/>
    </row>
    <row r="5" ht="43.8" customHeight="1" spans="1:13">
      <c r="A5" s="3" t="s">
        <v>48</v>
      </c>
      <c r="B5" s="3" t="s">
        <v>108</v>
      </c>
      <c r="C5" s="3" t="s">
        <v>0</v>
      </c>
      <c r="D5" s="3" t="s">
        <v>109</v>
      </c>
      <c r="E5" s="3" t="s">
        <v>0</v>
      </c>
      <c r="F5" s="3" t="s">
        <v>201</v>
      </c>
      <c r="G5" s="3" t="s">
        <v>202</v>
      </c>
      <c r="H5" s="3" t="s">
        <v>203</v>
      </c>
      <c r="I5" s="3" t="s">
        <v>204</v>
      </c>
      <c r="J5" s="3" t="s">
        <v>205</v>
      </c>
      <c r="K5" s="3" t="s">
        <v>0</v>
      </c>
      <c r="L5" s="3" t="s">
        <v>206</v>
      </c>
      <c r="M5" s="3" t="s">
        <v>207</v>
      </c>
    </row>
    <row r="6" ht="20" customHeight="1" spans="1:13">
      <c r="A6" s="3" t="s">
        <v>53</v>
      </c>
      <c r="B6" s="3" t="s">
        <v>208</v>
      </c>
      <c r="C6" s="3" t="s">
        <v>0</v>
      </c>
      <c r="D6" s="8" t="s">
        <v>209</v>
      </c>
      <c r="E6" s="8" t="s">
        <v>0</v>
      </c>
      <c r="F6" s="3"/>
      <c r="G6" s="3"/>
      <c r="H6" s="3"/>
      <c r="I6" s="3">
        <f>SUM(I7:I10)</f>
        <v>5166.9265</v>
      </c>
      <c r="J6" s="18" t="s">
        <v>0</v>
      </c>
      <c r="K6" s="18" t="s">
        <v>0</v>
      </c>
      <c r="L6" s="18" t="s">
        <v>0</v>
      </c>
      <c r="M6" s="18"/>
    </row>
    <row r="7" ht="30" customHeight="1" spans="1:17">
      <c r="A7" s="3" t="s">
        <v>210</v>
      </c>
      <c r="B7" s="3" t="s">
        <v>211</v>
      </c>
      <c r="C7" s="3" t="s">
        <v>0</v>
      </c>
      <c r="D7" s="8" t="s">
        <v>212</v>
      </c>
      <c r="E7" s="8" t="s">
        <v>0</v>
      </c>
      <c r="F7" s="3" t="s">
        <v>213</v>
      </c>
      <c r="G7" s="15">
        <f>Q7</f>
        <v>388490.6615</v>
      </c>
      <c r="H7" s="3"/>
      <c r="I7" s="16">
        <f t="shared" ref="I7:I13" si="0">ROUND(G7*H7/100,2)*0.95</f>
        <v>0</v>
      </c>
      <c r="J7" s="18" t="s">
        <v>0</v>
      </c>
      <c r="K7" s="18" t="s">
        <v>0</v>
      </c>
      <c r="L7" s="18" t="s">
        <v>0</v>
      </c>
      <c r="M7" s="18"/>
      <c r="N7">
        <f>'D3-4 分部分项工程量清单综合单价计算表(分页带材料)ZL型'!K47</f>
        <v>378837.6915</v>
      </c>
      <c r="O7">
        <f>'G.1规费、税金项目清单计价表-ZL型'!F6</f>
        <v>9652.97</v>
      </c>
      <c r="P7">
        <f>'F.1其他项目清单与计价汇总表(ZL型）'!C5</f>
        <v>0</v>
      </c>
      <c r="Q7">
        <f>N7+O7+P7</f>
        <v>388490.6615</v>
      </c>
    </row>
    <row r="8" ht="30" customHeight="1" spans="1:13">
      <c r="A8" s="3" t="s">
        <v>214</v>
      </c>
      <c r="B8" s="3" t="s">
        <v>215</v>
      </c>
      <c r="C8" s="3" t="s">
        <v>0</v>
      </c>
      <c r="D8" s="8" t="s">
        <v>216</v>
      </c>
      <c r="E8" s="8" t="s">
        <v>0</v>
      </c>
      <c r="F8" s="3" t="s">
        <v>213</v>
      </c>
      <c r="G8" s="15">
        <f>$G$7</f>
        <v>388490.6615</v>
      </c>
      <c r="H8" s="3"/>
      <c r="I8" s="16">
        <f t="shared" si="0"/>
        <v>0</v>
      </c>
      <c r="J8" s="18" t="s">
        <v>0</v>
      </c>
      <c r="K8" s="18" t="s">
        <v>0</v>
      </c>
      <c r="L8" s="18" t="s">
        <v>0</v>
      </c>
      <c r="M8" s="18"/>
    </row>
    <row r="9" ht="30" customHeight="1" spans="1:13">
      <c r="A9" s="3" t="s">
        <v>217</v>
      </c>
      <c r="B9" s="3" t="s">
        <v>218</v>
      </c>
      <c r="C9" s="3" t="s">
        <v>0</v>
      </c>
      <c r="D9" s="8" t="s">
        <v>219</v>
      </c>
      <c r="E9" s="8" t="s">
        <v>0</v>
      </c>
      <c r="F9" s="3" t="s">
        <v>213</v>
      </c>
      <c r="G9" s="15">
        <f t="shared" ref="G9:G12" si="1">$G$7</f>
        <v>388490.6615</v>
      </c>
      <c r="H9" s="16">
        <v>1.4</v>
      </c>
      <c r="I9" s="16">
        <f t="shared" si="0"/>
        <v>5166.9265</v>
      </c>
      <c r="J9" s="18" t="s">
        <v>0</v>
      </c>
      <c r="K9" s="18" t="s">
        <v>0</v>
      </c>
      <c r="L9" s="18" t="s">
        <v>0</v>
      </c>
      <c r="M9" s="18"/>
    </row>
    <row r="10" ht="30" customHeight="1" spans="1:13">
      <c r="A10" s="3" t="s">
        <v>220</v>
      </c>
      <c r="B10" s="3" t="s">
        <v>221</v>
      </c>
      <c r="C10" s="3" t="s">
        <v>0</v>
      </c>
      <c r="D10" s="8" t="s">
        <v>222</v>
      </c>
      <c r="E10" s="8" t="s">
        <v>0</v>
      </c>
      <c r="F10" s="3" t="s">
        <v>213</v>
      </c>
      <c r="G10" s="15">
        <f t="shared" si="1"/>
        <v>388490.6615</v>
      </c>
      <c r="H10" s="3"/>
      <c r="I10" s="16">
        <f t="shared" si="0"/>
        <v>0</v>
      </c>
      <c r="J10" s="18" t="s">
        <v>0</v>
      </c>
      <c r="K10" s="18" t="s">
        <v>0</v>
      </c>
      <c r="L10" s="18" t="s">
        <v>0</v>
      </c>
      <c r="M10" s="18"/>
    </row>
    <row r="11" ht="30" customHeight="1" spans="1:13">
      <c r="A11" s="3" t="s">
        <v>60</v>
      </c>
      <c r="B11" s="3" t="s">
        <v>223</v>
      </c>
      <c r="C11" s="3" t="s">
        <v>0</v>
      </c>
      <c r="D11" s="8" t="s">
        <v>224</v>
      </c>
      <c r="E11" s="8" t="s">
        <v>0</v>
      </c>
      <c r="F11" s="3" t="s">
        <v>213</v>
      </c>
      <c r="G11" s="15">
        <f t="shared" si="1"/>
        <v>388490.6615</v>
      </c>
      <c r="H11" s="3"/>
      <c r="I11" s="16">
        <f t="shared" si="0"/>
        <v>0</v>
      </c>
      <c r="J11" s="18" t="s">
        <v>0</v>
      </c>
      <c r="K11" s="18" t="s">
        <v>0</v>
      </c>
      <c r="L11" s="18" t="s">
        <v>0</v>
      </c>
      <c r="M11" s="18"/>
    </row>
    <row r="12" ht="30" customHeight="1" spans="1:13">
      <c r="A12" s="3" t="s">
        <v>64</v>
      </c>
      <c r="B12" s="3" t="s">
        <v>225</v>
      </c>
      <c r="C12" s="3" t="s">
        <v>0</v>
      </c>
      <c r="D12" s="8" t="s">
        <v>226</v>
      </c>
      <c r="E12" s="8" t="s">
        <v>0</v>
      </c>
      <c r="F12" s="3" t="s">
        <v>213</v>
      </c>
      <c r="G12" s="15">
        <f t="shared" si="1"/>
        <v>388490.6615</v>
      </c>
      <c r="H12" s="3"/>
      <c r="I12" s="16">
        <f t="shared" si="0"/>
        <v>0</v>
      </c>
      <c r="J12" s="18" t="s">
        <v>0</v>
      </c>
      <c r="K12" s="18" t="s">
        <v>0</v>
      </c>
      <c r="L12" s="18" t="s">
        <v>0</v>
      </c>
      <c r="M12" s="18"/>
    </row>
    <row r="13" ht="30" customHeight="1" spans="1:13">
      <c r="A13" s="3" t="s">
        <v>74</v>
      </c>
      <c r="B13" s="3" t="s">
        <v>227</v>
      </c>
      <c r="C13" s="3" t="s">
        <v>0</v>
      </c>
      <c r="D13" s="8" t="s">
        <v>228</v>
      </c>
      <c r="E13" s="8" t="s">
        <v>0</v>
      </c>
      <c r="F13" s="3" t="s">
        <v>213</v>
      </c>
      <c r="G13" s="15">
        <f t="shared" ref="G13" si="2">$G$7</f>
        <v>388490.6615</v>
      </c>
      <c r="H13" s="3"/>
      <c r="I13" s="16">
        <f t="shared" si="0"/>
        <v>0</v>
      </c>
      <c r="J13" s="18" t="s">
        <v>0</v>
      </c>
      <c r="K13" s="18" t="s">
        <v>0</v>
      </c>
      <c r="L13" s="18" t="s">
        <v>0</v>
      </c>
      <c r="M13" s="18"/>
    </row>
    <row r="14" ht="20" customHeight="1" spans="1:13">
      <c r="A14" s="3" t="s">
        <v>75</v>
      </c>
      <c r="B14" s="3" t="s">
        <v>229</v>
      </c>
      <c r="C14" s="3" t="s">
        <v>0</v>
      </c>
      <c r="D14" s="8" t="s">
        <v>230</v>
      </c>
      <c r="E14" s="8" t="s">
        <v>0</v>
      </c>
      <c r="F14" s="3"/>
      <c r="G14" s="3"/>
      <c r="H14" s="3"/>
      <c r="I14" s="18" t="s">
        <v>0</v>
      </c>
      <c r="J14" s="18" t="s">
        <v>0</v>
      </c>
      <c r="K14" s="18" t="s">
        <v>0</v>
      </c>
      <c r="L14" s="18" t="s">
        <v>0</v>
      </c>
      <c r="M14" s="18"/>
    </row>
    <row r="15" ht="30" customHeight="1" spans="1:13">
      <c r="A15" s="3" t="s">
        <v>77</v>
      </c>
      <c r="B15" s="3" t="s">
        <v>231</v>
      </c>
      <c r="C15" s="3" t="s">
        <v>0</v>
      </c>
      <c r="D15" s="8" t="s">
        <v>232</v>
      </c>
      <c r="E15" s="8" t="s">
        <v>0</v>
      </c>
      <c r="F15" s="3"/>
      <c r="G15" s="3"/>
      <c r="H15" s="3"/>
      <c r="I15" s="18" t="s">
        <v>0</v>
      </c>
      <c r="J15" s="18" t="s">
        <v>0</v>
      </c>
      <c r="K15" s="18" t="s">
        <v>0</v>
      </c>
      <c r="L15" s="18" t="s">
        <v>0</v>
      </c>
      <c r="M15" s="18"/>
    </row>
    <row r="16" ht="20" customHeight="1" spans="1:13">
      <c r="A16" s="3" t="s">
        <v>81</v>
      </c>
      <c r="B16" s="3" t="s">
        <v>233</v>
      </c>
      <c r="C16" s="3" t="s">
        <v>0</v>
      </c>
      <c r="D16" s="8" t="s">
        <v>234</v>
      </c>
      <c r="E16" s="8" t="s">
        <v>0</v>
      </c>
      <c r="F16" s="3"/>
      <c r="G16" s="3"/>
      <c r="H16" s="3"/>
      <c r="I16" s="18" t="s">
        <v>0</v>
      </c>
      <c r="J16" s="18" t="s">
        <v>0</v>
      </c>
      <c r="K16" s="18" t="s">
        <v>0</v>
      </c>
      <c r="L16" s="18" t="s">
        <v>0</v>
      </c>
      <c r="M16" s="18"/>
    </row>
    <row r="17" ht="44" customHeight="1" spans="1:13">
      <c r="A17" s="3" t="s">
        <v>157</v>
      </c>
      <c r="B17" s="3" t="s">
        <v>235</v>
      </c>
      <c r="C17" s="3" t="s">
        <v>0</v>
      </c>
      <c r="D17" s="8" t="s">
        <v>236</v>
      </c>
      <c r="E17" s="8" t="s">
        <v>0</v>
      </c>
      <c r="F17" s="3" t="s">
        <v>213</v>
      </c>
      <c r="G17" s="15">
        <f t="shared" ref="G17" si="3">$G$7</f>
        <v>388490.6615</v>
      </c>
      <c r="H17" s="3"/>
      <c r="I17" s="16">
        <f>ROUND(G17*H17/100,2)*0.95</f>
        <v>0</v>
      </c>
      <c r="J17" s="29"/>
      <c r="K17" s="30"/>
      <c r="L17" s="18"/>
      <c r="M17" s="18"/>
    </row>
    <row r="18" spans="1:13">
      <c r="A18" s="25" t="s">
        <v>142</v>
      </c>
      <c r="B18" s="25"/>
      <c r="C18" s="25"/>
      <c r="D18" s="25"/>
      <c r="E18" s="25"/>
      <c r="F18" s="26"/>
      <c r="G18" s="26"/>
      <c r="H18" s="26"/>
      <c r="I18" s="76">
        <f>SUM(I7:I17)</f>
        <v>5166.9265</v>
      </c>
      <c r="J18" s="32"/>
      <c r="K18" s="33"/>
      <c r="L18" s="26"/>
      <c r="M18" s="26"/>
    </row>
    <row r="19" ht="43.8" customHeight="1" spans="1:13">
      <c r="A19" s="13" t="s">
        <v>237</v>
      </c>
      <c r="B19" s="13" t="s">
        <v>0</v>
      </c>
      <c r="C19" s="13" t="s">
        <v>0</v>
      </c>
      <c r="D19" s="13" t="s">
        <v>0</v>
      </c>
      <c r="E19" s="13" t="s">
        <v>0</v>
      </c>
      <c r="F19" s="13" t="s">
        <v>0</v>
      </c>
      <c r="G19" s="13"/>
      <c r="H19" s="13" t="s">
        <v>0</v>
      </c>
      <c r="I19" s="13" t="s">
        <v>0</v>
      </c>
      <c r="J19" s="13" t="s">
        <v>0</v>
      </c>
      <c r="K19" s="13" t="s">
        <v>0</v>
      </c>
      <c r="L19" s="13" t="s">
        <v>0</v>
      </c>
      <c r="M19" s="13" t="s">
        <v>0</v>
      </c>
    </row>
    <row r="20" ht="21.6" customHeight="1"/>
    <row r="22" customHeight="1"/>
    <row r="23" customHeight="1"/>
    <row r="24" customHeight="1"/>
    <row r="25" ht="49.2" customHeight="1"/>
    <row r="27" ht="36" customHeight="1"/>
    <row r="28" ht="36" customHeight="1"/>
    <row r="29" ht="36" customHeight="1"/>
    <row r="30" ht="36" customHeight="1"/>
    <row r="33" ht="31.2" customHeight="1"/>
    <row r="37" ht="36.6" customHeight="1"/>
    <row r="39" ht="47.4" customHeight="1"/>
    <row r="40" ht="69.6" customHeight="1"/>
    <row r="42" customHeight="1"/>
    <row r="43" customHeight="1"/>
    <row r="44" customHeight="1"/>
    <row r="45" ht="36" customHeight="1"/>
    <row r="47" ht="33" customHeight="1"/>
    <row r="48" ht="33" customHeight="1"/>
    <row r="49" ht="33" customHeight="1"/>
    <row r="50" ht="33" customHeight="1"/>
    <row r="53" ht="33.6" customHeight="1"/>
    <row r="57" ht="36.6" customHeight="1"/>
    <row r="59" ht="43.8" customHeight="1"/>
  </sheetData>
  <mergeCells count="52">
    <mergeCell ref="A1:K1"/>
    <mergeCell ref="L1:M1"/>
    <mergeCell ref="A2:B2"/>
    <mergeCell ref="C2:J2"/>
    <mergeCell ref="K2:L2"/>
    <mergeCell ref="A3:B3"/>
    <mergeCell ref="C3:J3"/>
    <mergeCell ref="K3:L3"/>
    <mergeCell ref="A4:B4"/>
    <mergeCell ref="C4:J4"/>
    <mergeCell ref="K4:L4"/>
    <mergeCell ref="B5:C5"/>
    <mergeCell ref="D5:E5"/>
    <mergeCell ref="J5:K5"/>
    <mergeCell ref="B6:C6"/>
    <mergeCell ref="D6:E6"/>
    <mergeCell ref="J6:K6"/>
    <mergeCell ref="B7:C7"/>
    <mergeCell ref="D7:E7"/>
    <mergeCell ref="J7:K7"/>
    <mergeCell ref="B8:C8"/>
    <mergeCell ref="D8:E8"/>
    <mergeCell ref="J8:K8"/>
    <mergeCell ref="B9:C9"/>
    <mergeCell ref="D9:E9"/>
    <mergeCell ref="J9:K9"/>
    <mergeCell ref="B10:C10"/>
    <mergeCell ref="D10:E10"/>
    <mergeCell ref="J10:K10"/>
    <mergeCell ref="B11:C11"/>
    <mergeCell ref="D11:E11"/>
    <mergeCell ref="J11:K11"/>
    <mergeCell ref="B12:C12"/>
    <mergeCell ref="D12:E12"/>
    <mergeCell ref="J12:K12"/>
    <mergeCell ref="B13:C13"/>
    <mergeCell ref="D13:E13"/>
    <mergeCell ref="J13:K13"/>
    <mergeCell ref="B14:C14"/>
    <mergeCell ref="D14:E14"/>
    <mergeCell ref="J14:K14"/>
    <mergeCell ref="B15:C15"/>
    <mergeCell ref="D15:E15"/>
    <mergeCell ref="J15:K15"/>
    <mergeCell ref="B16:C16"/>
    <mergeCell ref="D16:E16"/>
    <mergeCell ref="J16:K16"/>
    <mergeCell ref="B17:C17"/>
    <mergeCell ref="D17:E17"/>
    <mergeCell ref="A18:E18"/>
    <mergeCell ref="J18:K18"/>
    <mergeCell ref="A19:M19"/>
  </mergeCells>
  <pageMargins left="1.0625" right="0.708661417322835" top="0.748031496062992" bottom="0.748031496062992" header="0.31496062992126" footer="0.31496062992126"/>
  <pageSetup paperSize="9" scale="95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H24"/>
  <sheetViews>
    <sheetView view="pageBreakPreview" zoomScaleNormal="100" workbookViewId="0">
      <selection activeCell="B4" sqref="B4"/>
    </sheetView>
  </sheetViews>
  <sheetFormatPr defaultColWidth="9" defaultRowHeight="14.4" outlineLevelCol="7"/>
  <cols>
    <col min="2" max="2" width="27.3333333333333" customWidth="1"/>
    <col min="3" max="3" width="11.8796296296296" customWidth="1"/>
    <col min="4" max="4" width="13.6666666666667" customWidth="1"/>
    <col min="5" max="5" width="19.7777777777778" customWidth="1"/>
    <col min="6" max="6" width="30.212962962963" customWidth="1"/>
  </cols>
  <sheetData>
    <row r="1" ht="25.2" customHeight="1" spans="1:6">
      <c r="A1" s="1" t="s">
        <v>238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</row>
    <row r="2" spans="1:6">
      <c r="A2" s="19"/>
      <c r="B2" s="19"/>
      <c r="C2" s="19"/>
      <c r="D2" s="19"/>
      <c r="E2" s="19"/>
      <c r="F2" s="11" t="s">
        <v>47</v>
      </c>
    </row>
    <row r="3" ht="21" customHeight="1" spans="1:8">
      <c r="A3" s="12" t="s">
        <v>24</v>
      </c>
      <c r="B3" s="13" t="s">
        <v>131</v>
      </c>
      <c r="C3" s="13"/>
      <c r="D3" s="13"/>
      <c r="E3" s="13"/>
      <c r="F3" s="12" t="s">
        <v>135</v>
      </c>
      <c r="G3" s="12" t="s">
        <v>0</v>
      </c>
      <c r="H3" s="27"/>
    </row>
    <row r="4" spans="1:6">
      <c r="A4" s="3" t="s">
        <v>32</v>
      </c>
      <c r="B4" s="3" t="s">
        <v>239</v>
      </c>
      <c r="C4" s="3" t="s">
        <v>50</v>
      </c>
      <c r="D4" s="3" t="s">
        <v>240</v>
      </c>
      <c r="E4" s="3" t="s">
        <v>207</v>
      </c>
      <c r="F4" s="3" t="s">
        <v>0</v>
      </c>
    </row>
    <row r="5" spans="1:6">
      <c r="A5" s="3" t="s">
        <v>53</v>
      </c>
      <c r="B5" s="8" t="s">
        <v>241</v>
      </c>
      <c r="C5" s="3">
        <f>'F1.1暂列金额明细表（ZL型）'!D19+'F1.1暂列金额明细表（ZL型）'!D48+'F1.1暂列金额明细表（ZL型）'!D77</f>
        <v>0</v>
      </c>
      <c r="D5" s="18" t="s">
        <v>0</v>
      </c>
      <c r="E5" s="3"/>
      <c r="F5" s="3"/>
    </row>
    <row r="6" spans="1:6">
      <c r="A6" s="3" t="s">
        <v>60</v>
      </c>
      <c r="B6" s="8" t="s">
        <v>242</v>
      </c>
      <c r="C6" s="18"/>
      <c r="D6" s="18" t="s">
        <v>0</v>
      </c>
      <c r="E6" s="3"/>
      <c r="F6" s="3"/>
    </row>
    <row r="7" spans="1:6">
      <c r="A7" s="3" t="s">
        <v>62</v>
      </c>
      <c r="B7" s="8" t="s">
        <v>243</v>
      </c>
      <c r="C7" s="3" t="s">
        <v>43</v>
      </c>
      <c r="D7" s="18" t="s">
        <v>0</v>
      </c>
      <c r="E7" s="3"/>
      <c r="F7" s="3"/>
    </row>
    <row r="8" spans="1:6">
      <c r="A8" s="3" t="s">
        <v>244</v>
      </c>
      <c r="B8" s="8" t="s">
        <v>245</v>
      </c>
      <c r="C8" s="18"/>
      <c r="D8" s="18" t="s">
        <v>0</v>
      </c>
      <c r="E8" s="3"/>
      <c r="F8" s="3"/>
    </row>
    <row r="9" spans="1:6">
      <c r="A9" s="3" t="s">
        <v>64</v>
      </c>
      <c r="B9" s="8" t="s">
        <v>246</v>
      </c>
      <c r="C9" s="18"/>
      <c r="D9" s="18" t="s">
        <v>0</v>
      </c>
      <c r="E9" s="3"/>
      <c r="F9" s="3"/>
    </row>
    <row r="10" spans="1:6">
      <c r="A10" s="3" t="s">
        <v>74</v>
      </c>
      <c r="B10" s="8" t="s">
        <v>247</v>
      </c>
      <c r="C10" s="18"/>
      <c r="D10" s="18" t="s">
        <v>0</v>
      </c>
      <c r="E10" s="3"/>
      <c r="F10" s="3"/>
    </row>
    <row r="11" spans="1:6">
      <c r="A11" s="3" t="s">
        <v>0</v>
      </c>
      <c r="B11" s="8" t="s">
        <v>0</v>
      </c>
      <c r="C11" s="18" t="s">
        <v>0</v>
      </c>
      <c r="D11" s="18" t="s">
        <v>0</v>
      </c>
      <c r="E11" s="3" t="s">
        <v>0</v>
      </c>
      <c r="F11" s="3" t="s">
        <v>0</v>
      </c>
    </row>
    <row r="12" spans="1:6">
      <c r="A12" s="3" t="s">
        <v>0</v>
      </c>
      <c r="B12" s="8" t="s">
        <v>0</v>
      </c>
      <c r="C12" s="18" t="s">
        <v>0</v>
      </c>
      <c r="D12" s="18" t="s">
        <v>0</v>
      </c>
      <c r="E12" s="3" t="s">
        <v>0</v>
      </c>
      <c r="F12" s="3" t="s">
        <v>0</v>
      </c>
    </row>
    <row r="13" spans="1:6">
      <c r="A13" s="3" t="s">
        <v>0</v>
      </c>
      <c r="B13" s="8" t="s">
        <v>0</v>
      </c>
      <c r="C13" s="18" t="s">
        <v>0</v>
      </c>
      <c r="D13" s="18" t="s">
        <v>0</v>
      </c>
      <c r="E13" s="3" t="s">
        <v>0</v>
      </c>
      <c r="F13" s="3" t="s">
        <v>0</v>
      </c>
    </row>
    <row r="14" spans="1:6">
      <c r="A14" s="3" t="s">
        <v>0</v>
      </c>
      <c r="B14" s="8" t="s">
        <v>0</v>
      </c>
      <c r="C14" s="18" t="s">
        <v>0</v>
      </c>
      <c r="D14" s="18" t="s">
        <v>0</v>
      </c>
      <c r="E14" s="3" t="s">
        <v>0</v>
      </c>
      <c r="F14" s="3" t="s">
        <v>0</v>
      </c>
    </row>
    <row r="15" spans="1:6">
      <c r="A15" s="3" t="s">
        <v>0</v>
      </c>
      <c r="B15" s="8" t="s">
        <v>0</v>
      </c>
      <c r="C15" s="18" t="s">
        <v>0</v>
      </c>
      <c r="D15" s="18" t="s">
        <v>0</v>
      </c>
      <c r="E15" s="3" t="s">
        <v>0</v>
      </c>
      <c r="F15" s="3" t="s">
        <v>0</v>
      </c>
    </row>
    <row r="16" spans="1:6">
      <c r="A16" s="3" t="s">
        <v>0</v>
      </c>
      <c r="B16" s="8" t="s">
        <v>0</v>
      </c>
      <c r="C16" s="18" t="s">
        <v>0</v>
      </c>
      <c r="D16" s="18" t="s">
        <v>0</v>
      </c>
      <c r="E16" s="3" t="s">
        <v>0</v>
      </c>
      <c r="F16" s="3" t="s">
        <v>0</v>
      </c>
    </row>
    <row r="17" spans="1:6">
      <c r="A17" s="3" t="s">
        <v>0</v>
      </c>
      <c r="B17" s="8" t="s">
        <v>0</v>
      </c>
      <c r="C17" s="18" t="s">
        <v>0</v>
      </c>
      <c r="D17" s="18" t="s">
        <v>0</v>
      </c>
      <c r="E17" s="3" t="s">
        <v>0</v>
      </c>
      <c r="F17" s="3" t="s">
        <v>0</v>
      </c>
    </row>
    <row r="18" spans="1:6">
      <c r="A18" s="3" t="s">
        <v>0</v>
      </c>
      <c r="B18" s="8" t="s">
        <v>0</v>
      </c>
      <c r="C18" s="18" t="s">
        <v>0</v>
      </c>
      <c r="D18" s="18" t="s">
        <v>0</v>
      </c>
      <c r="E18" s="3" t="s">
        <v>0</v>
      </c>
      <c r="F18" s="3" t="s">
        <v>0</v>
      </c>
    </row>
    <row r="19" spans="1:6">
      <c r="A19" s="3" t="s">
        <v>0</v>
      </c>
      <c r="B19" s="8" t="s">
        <v>0</v>
      </c>
      <c r="C19" s="18" t="s">
        <v>0</v>
      </c>
      <c r="D19" s="18" t="s">
        <v>0</v>
      </c>
      <c r="E19" s="3" t="s">
        <v>0</v>
      </c>
      <c r="F19" s="3" t="s">
        <v>0</v>
      </c>
    </row>
    <row r="20" spans="1:6">
      <c r="A20" s="3" t="s">
        <v>0</v>
      </c>
      <c r="B20" s="8" t="s">
        <v>0</v>
      </c>
      <c r="C20" s="18" t="s">
        <v>0</v>
      </c>
      <c r="D20" s="18" t="s">
        <v>0</v>
      </c>
      <c r="E20" s="3" t="s">
        <v>0</v>
      </c>
      <c r="F20" s="3" t="s">
        <v>0</v>
      </c>
    </row>
    <row r="21" spans="1:6">
      <c r="A21" s="3" t="s">
        <v>0</v>
      </c>
      <c r="B21" s="8" t="s">
        <v>0</v>
      </c>
      <c r="C21" s="18" t="s">
        <v>0</v>
      </c>
      <c r="D21" s="18" t="s">
        <v>0</v>
      </c>
      <c r="E21" s="3" t="s">
        <v>0</v>
      </c>
      <c r="F21" s="3" t="s">
        <v>0</v>
      </c>
    </row>
    <row r="22" spans="1:6">
      <c r="A22" s="3" t="s">
        <v>0</v>
      </c>
      <c r="B22" s="8" t="s">
        <v>0</v>
      </c>
      <c r="C22" s="18" t="s">
        <v>0</v>
      </c>
      <c r="D22" s="18" t="s">
        <v>0</v>
      </c>
      <c r="E22" s="3" t="s">
        <v>0</v>
      </c>
      <c r="F22" s="3" t="s">
        <v>0</v>
      </c>
    </row>
    <row r="23" spans="1:6">
      <c r="A23" s="3" t="s">
        <v>0</v>
      </c>
      <c r="B23" s="8" t="s">
        <v>0</v>
      </c>
      <c r="C23" s="18" t="s">
        <v>0</v>
      </c>
      <c r="D23" s="18" t="s">
        <v>0</v>
      </c>
      <c r="E23" s="3" t="s">
        <v>0</v>
      </c>
      <c r="F23" s="3" t="s">
        <v>0</v>
      </c>
    </row>
    <row r="24" spans="1:6">
      <c r="A24" s="3" t="s">
        <v>128</v>
      </c>
      <c r="B24" s="3" t="s">
        <v>0</v>
      </c>
      <c r="C24" s="3">
        <f>SUM(C5:C23)</f>
        <v>0</v>
      </c>
      <c r="D24" s="3" t="s">
        <v>0</v>
      </c>
      <c r="E24" s="3" t="s">
        <v>43</v>
      </c>
      <c r="F24" s="3" t="s">
        <v>0</v>
      </c>
    </row>
  </sheetData>
  <mergeCells count="25">
    <mergeCell ref="A1:F1"/>
    <mergeCell ref="C2:E2"/>
    <mergeCell ref="B3:E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A24:B24"/>
    <mergeCell ref="E24:F24"/>
  </mergeCells>
  <pageMargins left="0.904861111111111" right="0.7" top="0.75" bottom="0.75" header="0.3" footer="0.3"/>
  <pageSetup paperSize="9" scale="115" orientation="landscape"/>
  <headerFooter/>
  <colBreaks count="1" manualBreakCount="1">
    <brk id="6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E79"/>
  <sheetViews>
    <sheetView view="pageBreakPreview" zoomScaleNormal="100" workbookViewId="0">
      <selection activeCell="B4" sqref="B4:D4"/>
    </sheetView>
  </sheetViews>
  <sheetFormatPr defaultColWidth="9" defaultRowHeight="14.4" outlineLevelCol="4"/>
  <cols>
    <col min="1" max="1" width="9.77777777777778" customWidth="1"/>
    <col min="2" max="2" width="23.4444444444444" customWidth="1"/>
    <col min="3" max="3" width="19.212962962963" customWidth="1"/>
    <col min="4" max="4" width="23.5555555555556" customWidth="1"/>
    <col min="5" max="5" width="16.212962962963" customWidth="1"/>
  </cols>
  <sheetData>
    <row r="1" ht="29.4" customHeight="1" spans="1:5">
      <c r="A1" s="10" t="s">
        <v>248</v>
      </c>
      <c r="B1" s="10" t="s">
        <v>0</v>
      </c>
      <c r="C1" s="10" t="s">
        <v>0</v>
      </c>
      <c r="D1" s="10" t="s">
        <v>0</v>
      </c>
      <c r="E1" s="10" t="s">
        <v>0</v>
      </c>
    </row>
    <row r="2" ht="22.8" customHeight="1" spans="1:5">
      <c r="A2" s="19"/>
      <c r="B2" s="19"/>
      <c r="C2" s="19"/>
      <c r="D2" s="19"/>
      <c r="E2" s="11" t="s">
        <v>47</v>
      </c>
    </row>
    <row r="3" ht="21" customHeight="1" spans="1:5">
      <c r="A3" s="12" t="s">
        <v>24</v>
      </c>
      <c r="B3" s="13" t="s">
        <v>131</v>
      </c>
      <c r="C3" s="13"/>
      <c r="D3" s="13"/>
      <c r="E3" s="12" t="s">
        <v>132</v>
      </c>
    </row>
    <row r="4" ht="20.4" customHeight="1" spans="1:5">
      <c r="A4" s="12" t="s">
        <v>133</v>
      </c>
      <c r="B4" s="13" t="s">
        <v>249</v>
      </c>
      <c r="C4" s="13"/>
      <c r="D4" s="13"/>
      <c r="E4" s="12" t="s">
        <v>135</v>
      </c>
    </row>
    <row r="5" ht="22.2" customHeight="1" spans="1:5">
      <c r="A5" s="12" t="s">
        <v>136</v>
      </c>
      <c r="B5" s="14" t="s">
        <v>54</v>
      </c>
      <c r="C5" s="14"/>
      <c r="D5" s="14"/>
      <c r="E5" s="21"/>
    </row>
    <row r="6" spans="1:5">
      <c r="A6" s="3" t="s">
        <v>32</v>
      </c>
      <c r="B6" s="3" t="s">
        <v>109</v>
      </c>
      <c r="C6" s="3" t="s">
        <v>250</v>
      </c>
      <c r="D6" s="3" t="s">
        <v>251</v>
      </c>
      <c r="E6" s="3" t="s">
        <v>207</v>
      </c>
    </row>
    <row r="7" ht="19.95" customHeight="1" spans="1:5">
      <c r="A7" s="3" t="s">
        <v>53</v>
      </c>
      <c r="B7" s="8" t="s">
        <v>241</v>
      </c>
      <c r="C7" s="3" t="s">
        <v>252</v>
      </c>
      <c r="D7" s="16">
        <f>ROUND('D1-1 分部分项工程量清单计价表【集约人工林栽培‖ZL型】'!L6*0.1,2)*0</f>
        <v>0</v>
      </c>
      <c r="E7" s="8" t="s">
        <v>9</v>
      </c>
    </row>
    <row r="8" ht="19.95" customHeight="1" spans="1:5">
      <c r="A8" s="3" t="s">
        <v>0</v>
      </c>
      <c r="B8" s="8" t="s">
        <v>0</v>
      </c>
      <c r="C8" s="3" t="s">
        <v>0</v>
      </c>
      <c r="D8" s="18" t="s">
        <v>0</v>
      </c>
      <c r="E8" s="8" t="s">
        <v>0</v>
      </c>
    </row>
    <row r="9" ht="19.95" customHeight="1" spans="1:5">
      <c r="A9" s="3" t="s">
        <v>0</v>
      </c>
      <c r="B9" s="8" t="s">
        <v>0</v>
      </c>
      <c r="C9" s="3" t="s">
        <v>0</v>
      </c>
      <c r="D9" s="18" t="s">
        <v>0</v>
      </c>
      <c r="E9" s="8" t="s">
        <v>0</v>
      </c>
    </row>
    <row r="10" ht="19.95" customHeight="1" spans="1:5">
      <c r="A10" s="3" t="s">
        <v>0</v>
      </c>
      <c r="B10" s="8" t="s">
        <v>0</v>
      </c>
      <c r="C10" s="3" t="s">
        <v>0</v>
      </c>
      <c r="D10" s="18" t="s">
        <v>0</v>
      </c>
      <c r="E10" s="8" t="s">
        <v>0</v>
      </c>
    </row>
    <row r="11" ht="19.95" customHeight="1" spans="1:5">
      <c r="A11" s="3" t="s">
        <v>0</v>
      </c>
      <c r="B11" s="8" t="s">
        <v>0</v>
      </c>
      <c r="C11" s="3" t="s">
        <v>0</v>
      </c>
      <c r="D11" s="18" t="s">
        <v>0</v>
      </c>
      <c r="E11" s="8" t="s">
        <v>0</v>
      </c>
    </row>
    <row r="12" ht="19.95" customHeight="1" spans="1:5">
      <c r="A12" s="3" t="s">
        <v>0</v>
      </c>
      <c r="B12" s="8" t="s">
        <v>0</v>
      </c>
      <c r="C12" s="3" t="s">
        <v>0</v>
      </c>
      <c r="D12" s="18" t="s">
        <v>0</v>
      </c>
      <c r="E12" s="8" t="s">
        <v>0</v>
      </c>
    </row>
    <row r="13" ht="19.95" customHeight="1" spans="1:5">
      <c r="A13" s="3" t="s">
        <v>0</v>
      </c>
      <c r="B13" s="8" t="s">
        <v>0</v>
      </c>
      <c r="C13" s="3" t="s">
        <v>0</v>
      </c>
      <c r="D13" s="18" t="s">
        <v>0</v>
      </c>
      <c r="E13" s="8" t="s">
        <v>0</v>
      </c>
    </row>
    <row r="14" ht="19.95" customHeight="1" spans="1:5">
      <c r="A14" s="3" t="s">
        <v>0</v>
      </c>
      <c r="B14" s="8" t="s">
        <v>0</v>
      </c>
      <c r="C14" s="3" t="s">
        <v>0</v>
      </c>
      <c r="D14" s="18" t="s">
        <v>0</v>
      </c>
      <c r="E14" s="8" t="s">
        <v>0</v>
      </c>
    </row>
    <row r="15" ht="19.95" customHeight="1" spans="1:5">
      <c r="A15" s="3" t="s">
        <v>0</v>
      </c>
      <c r="B15" s="8" t="s">
        <v>0</v>
      </c>
      <c r="C15" s="3" t="s">
        <v>0</v>
      </c>
      <c r="D15" s="18" t="s">
        <v>0</v>
      </c>
      <c r="E15" s="8" t="s">
        <v>0</v>
      </c>
    </row>
    <row r="16" ht="19.95" customHeight="1" spans="1:5">
      <c r="A16" s="3" t="s">
        <v>0</v>
      </c>
      <c r="B16" s="8" t="s">
        <v>0</v>
      </c>
      <c r="C16" s="3" t="s">
        <v>0</v>
      </c>
      <c r="D16" s="18" t="s">
        <v>0</v>
      </c>
      <c r="E16" s="8" t="s">
        <v>0</v>
      </c>
    </row>
    <row r="17" ht="19.95" customHeight="1" spans="1:5">
      <c r="A17" s="3" t="s">
        <v>0</v>
      </c>
      <c r="B17" s="8" t="s">
        <v>0</v>
      </c>
      <c r="C17" s="3" t="s">
        <v>0</v>
      </c>
      <c r="D17" s="18" t="s">
        <v>0</v>
      </c>
      <c r="E17" s="8" t="s">
        <v>0</v>
      </c>
    </row>
    <row r="18" ht="19.95" customHeight="1" spans="1:5">
      <c r="A18" s="3" t="s">
        <v>0</v>
      </c>
      <c r="B18" s="8" t="s">
        <v>0</v>
      </c>
      <c r="C18" s="3" t="s">
        <v>0</v>
      </c>
      <c r="D18" s="18" t="s">
        <v>0</v>
      </c>
      <c r="E18" s="8" t="s">
        <v>0</v>
      </c>
    </row>
    <row r="19" ht="19.95" customHeight="1" spans="1:5">
      <c r="A19" s="3" t="s">
        <v>128</v>
      </c>
      <c r="B19" s="3" t="s">
        <v>0</v>
      </c>
      <c r="C19" s="3" t="s">
        <v>0</v>
      </c>
      <c r="D19" s="3">
        <f>SUM(D7:D18)</f>
        <v>0</v>
      </c>
      <c r="E19" s="3" t="s">
        <v>43</v>
      </c>
    </row>
    <row r="20" spans="1:5">
      <c r="A20" s="22"/>
      <c r="B20" s="22"/>
      <c r="C20" s="22"/>
      <c r="D20" s="22"/>
      <c r="E20" s="22"/>
    </row>
    <row r="21" ht="30.6" customHeight="1" spans="1:5">
      <c r="A21" s="23" t="s">
        <v>253</v>
      </c>
      <c r="B21" s="23" t="s">
        <v>0</v>
      </c>
      <c r="C21" s="23" t="s">
        <v>0</v>
      </c>
      <c r="D21" s="23" t="s">
        <v>0</v>
      </c>
      <c r="E21" s="23" t="s">
        <v>0</v>
      </c>
    </row>
    <row r="23" ht="22.2" customHeight="1"/>
    <row r="50" ht="37.8" customHeight="1"/>
    <row r="52" ht="26.4" customHeight="1"/>
    <row r="79" ht="28.8" customHeight="1"/>
  </sheetData>
  <mergeCells count="7">
    <mergeCell ref="A1:E1"/>
    <mergeCell ref="C2:D2"/>
    <mergeCell ref="B3:D3"/>
    <mergeCell ref="B4:D4"/>
    <mergeCell ref="B5:D5"/>
    <mergeCell ref="A19:C19"/>
    <mergeCell ref="A21:E21"/>
  </mergeCells>
  <pageMargins left="1.73194444444444" right="0.708661417322835" top="0.748031496062992" bottom="0.748031496062992" header="0.31496062992126" footer="0.31496062992126"/>
  <pageSetup paperSize="9" scale="115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F14"/>
  <sheetViews>
    <sheetView view="pageBreakPreview" zoomScaleNormal="100" workbookViewId="0">
      <selection activeCell="B3" sqref="B3:D3"/>
    </sheetView>
  </sheetViews>
  <sheetFormatPr defaultColWidth="9" defaultRowHeight="14.4" outlineLevelCol="5"/>
  <cols>
    <col min="2" max="2" width="16.4444444444444" customWidth="1"/>
    <col min="3" max="3" width="37.1111111111111" customWidth="1"/>
    <col min="4" max="6" width="14.212962962963" customWidth="1"/>
  </cols>
  <sheetData>
    <row r="1" ht="29.4" customHeight="1" spans="1:6">
      <c r="A1" s="10" t="s">
        <v>254</v>
      </c>
      <c r="B1" s="10"/>
      <c r="C1" s="10"/>
      <c r="D1" s="10"/>
      <c r="E1" s="10"/>
      <c r="F1" s="11" t="s">
        <v>47</v>
      </c>
    </row>
    <row r="2" customHeight="1" spans="1:6">
      <c r="A2" s="12" t="s">
        <v>24</v>
      </c>
      <c r="B2" s="13" t="s">
        <v>131</v>
      </c>
      <c r="C2" s="13"/>
      <c r="D2" s="13"/>
      <c r="E2" s="13" t="s">
        <v>132</v>
      </c>
      <c r="F2" s="13" t="s">
        <v>0</v>
      </c>
    </row>
    <row r="3" spans="1:6">
      <c r="A3" s="12" t="s">
        <v>133</v>
      </c>
      <c r="B3" s="13" t="s">
        <v>255</v>
      </c>
      <c r="C3" s="13"/>
      <c r="D3" s="13"/>
      <c r="E3" s="28" t="s">
        <v>135</v>
      </c>
      <c r="F3" s="28" t="s">
        <v>0</v>
      </c>
    </row>
    <row r="4" customHeight="1" spans="1:6">
      <c r="A4" s="12" t="s">
        <v>136</v>
      </c>
      <c r="B4" s="14" t="s">
        <v>256</v>
      </c>
      <c r="C4" s="14"/>
      <c r="D4" s="14"/>
      <c r="E4" s="12" t="s">
        <v>0</v>
      </c>
      <c r="F4" s="12" t="s">
        <v>0</v>
      </c>
    </row>
    <row r="5" spans="1:6">
      <c r="A5" s="3" t="s">
        <v>32</v>
      </c>
      <c r="B5" s="3" t="s">
        <v>109</v>
      </c>
      <c r="C5" s="3" t="s">
        <v>201</v>
      </c>
      <c r="D5" s="3" t="s">
        <v>202</v>
      </c>
      <c r="E5" s="3" t="s">
        <v>257</v>
      </c>
      <c r="F5" s="3" t="s">
        <v>258</v>
      </c>
    </row>
    <row r="6" ht="50.4" customHeight="1" spans="1:6">
      <c r="A6" s="3" t="s">
        <v>53</v>
      </c>
      <c r="B6" s="8" t="s">
        <v>39</v>
      </c>
      <c r="C6" s="3" t="s">
        <v>259</v>
      </c>
      <c r="D6" s="15">
        <f>'D3-3 分部分项工程量清单综合单价计算表(分页不带材料)~1'!F17</f>
        <v>201103.486</v>
      </c>
      <c r="E6" s="16">
        <v>4.8</v>
      </c>
      <c r="F6" s="3">
        <f>ROUND(D6*E6/100,2)</f>
        <v>9652.97</v>
      </c>
    </row>
    <row r="7" ht="50.4" customHeight="1" spans="1:6">
      <c r="A7" s="3" t="s">
        <v>60</v>
      </c>
      <c r="B7" s="8" t="s">
        <v>82</v>
      </c>
      <c r="C7" s="3" t="s">
        <v>260</v>
      </c>
      <c r="D7" s="17">
        <f>'D3-3 分部分项工程量清单综合单价计算表(分页不带材料)~1'!K17+'E.1分部分项工程总价措施项目清单计价表-ZL型'!I18+'F1.1暂列金额明细表（ZL型）'!D19+'G.1规费、税金项目清单计价表-ZL型'!F6</f>
        <v>393657.588</v>
      </c>
      <c r="E7" s="3">
        <v>9</v>
      </c>
      <c r="F7" s="3">
        <f>ROUND(D7*E7/100,2)</f>
        <v>35429.18</v>
      </c>
    </row>
    <row r="8" ht="48" spans="1:6">
      <c r="A8" s="3">
        <v>3</v>
      </c>
      <c r="B8" s="8" t="s">
        <v>83</v>
      </c>
      <c r="C8" s="3" t="s">
        <v>260</v>
      </c>
      <c r="D8" s="17">
        <f>D7</f>
        <v>393657.588</v>
      </c>
      <c r="E8" s="3"/>
      <c r="F8" s="3">
        <f>ROUND(D8*E8/100,2)</f>
        <v>0</v>
      </c>
    </row>
    <row r="9" spans="1:6">
      <c r="A9" s="3" t="s">
        <v>0</v>
      </c>
      <c r="B9" s="8" t="s">
        <v>0</v>
      </c>
      <c r="C9" s="3" t="s">
        <v>0</v>
      </c>
      <c r="D9" s="18" t="s">
        <v>0</v>
      </c>
      <c r="E9" s="16" t="s">
        <v>0</v>
      </c>
      <c r="F9" s="3"/>
    </row>
    <row r="10" spans="1:6">
      <c r="A10" s="3" t="s">
        <v>0</v>
      </c>
      <c r="B10" s="8" t="s">
        <v>0</v>
      </c>
      <c r="C10" s="3" t="s">
        <v>0</v>
      </c>
      <c r="D10" s="18" t="s">
        <v>0</v>
      </c>
      <c r="E10" s="3" t="s">
        <v>0</v>
      </c>
      <c r="F10" s="3"/>
    </row>
    <row r="11" spans="1:6">
      <c r="A11" s="3" t="s">
        <v>164</v>
      </c>
      <c r="B11" s="3" t="s">
        <v>0</v>
      </c>
      <c r="C11" s="3" t="s">
        <v>0</v>
      </c>
      <c r="D11" s="3" t="s">
        <v>0</v>
      </c>
      <c r="E11" s="3" t="s">
        <v>0</v>
      </c>
      <c r="F11" s="3">
        <f>SUM(F6:F10)</f>
        <v>45082.15</v>
      </c>
    </row>
    <row r="14" customHeight="1"/>
  </sheetData>
  <mergeCells count="7">
    <mergeCell ref="A1:E1"/>
    <mergeCell ref="B2:D2"/>
    <mergeCell ref="E2:F2"/>
    <mergeCell ref="B3:D3"/>
    <mergeCell ref="E3:F3"/>
    <mergeCell ref="B4:D4"/>
    <mergeCell ref="A11:E11"/>
  </mergeCells>
  <pageMargins left="0.7" right="0.7" top="0.75" bottom="0.75" header="0.3" footer="0.3"/>
  <pageSetup paperSize="9" scale="12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view="pageBreakPreview" zoomScaleNormal="100" workbookViewId="0">
      <selection activeCell="A3" sqref="A3:B3"/>
    </sheetView>
  </sheetViews>
  <sheetFormatPr defaultColWidth="9" defaultRowHeight="14.4" outlineLevelRow="5" outlineLevelCol="1"/>
  <cols>
    <col min="1" max="1" width="11.4444444444444" customWidth="1"/>
    <col min="2" max="2" width="73" customWidth="1"/>
  </cols>
  <sheetData>
    <row r="1" ht="24.6" customHeight="1" spans="1:2">
      <c r="A1" s="1" t="s">
        <v>23</v>
      </c>
      <c r="B1" s="1" t="s">
        <v>0</v>
      </c>
    </row>
    <row r="2" ht="28.8" customHeight="1" spans="1:2">
      <c r="A2" s="23" t="s">
        <v>24</v>
      </c>
      <c r="B2" s="23" t="s">
        <v>25</v>
      </c>
    </row>
    <row r="3" ht="367" customHeight="1" spans="1:2">
      <c r="A3" s="121" t="s">
        <v>26</v>
      </c>
      <c r="B3" s="122" t="s">
        <v>0</v>
      </c>
    </row>
    <row r="4" ht="53.4" customHeight="1" spans="1:2">
      <c r="A4" s="123" t="s">
        <v>27</v>
      </c>
      <c r="B4" s="124" t="s">
        <v>0</v>
      </c>
    </row>
    <row r="5" ht="29" customHeight="1" spans="1:2">
      <c r="A5" s="125" t="s">
        <v>28</v>
      </c>
      <c r="B5" s="126" t="s">
        <v>0</v>
      </c>
    </row>
    <row r="6" spans="1:2">
      <c r="A6" s="20" t="s">
        <v>29</v>
      </c>
      <c r="B6" s="20" t="s">
        <v>0</v>
      </c>
    </row>
  </sheetData>
  <mergeCells count="5">
    <mergeCell ref="A1:B1"/>
    <mergeCell ref="A3:B3"/>
    <mergeCell ref="A4:B4"/>
    <mergeCell ref="A5:B5"/>
    <mergeCell ref="A6:B6"/>
  </mergeCells>
  <pageMargins left="0.393055555555556" right="0.393055555555556" top="0.748031496062992" bottom="0.748031496062992" header="0.31496062992126" footer="0.31496062992126"/>
  <pageSetup paperSize="9" scale="115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view="pageBreakPreview" zoomScaleNormal="100" workbookViewId="0">
      <selection activeCell="A3" sqref="A3"/>
    </sheetView>
  </sheetViews>
  <sheetFormatPr defaultColWidth="9" defaultRowHeight="14.4" outlineLevelCol="5"/>
  <cols>
    <col min="1" max="1" width="6.66666666666667" customWidth="1"/>
    <col min="2" max="2" width="11" customWidth="1"/>
    <col min="3" max="3" width="29" customWidth="1"/>
    <col min="4" max="4" width="33.5555555555556" customWidth="1"/>
    <col min="5" max="5" width="8.87962962962963" customWidth="1"/>
    <col min="6" max="6" width="10.4444444444444" customWidth="1"/>
  </cols>
  <sheetData>
    <row r="1" ht="26.4" customHeight="1" spans="1:6">
      <c r="A1" s="1" t="s">
        <v>261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</row>
    <row r="2" ht="21" customHeight="1" spans="1:6">
      <c r="A2" s="2" t="s">
        <v>107</v>
      </c>
      <c r="B2" s="2"/>
      <c r="C2" s="2"/>
      <c r="D2" s="2"/>
      <c r="E2" s="2"/>
      <c r="F2" s="2"/>
    </row>
    <row r="3" ht="35.4" customHeight="1" spans="1:6">
      <c r="A3" s="3" t="s">
        <v>32</v>
      </c>
      <c r="B3" s="3" t="s">
        <v>262</v>
      </c>
      <c r="C3" s="3" t="s">
        <v>263</v>
      </c>
      <c r="D3" s="3" t="s">
        <v>264</v>
      </c>
      <c r="E3" s="3" t="s">
        <v>110</v>
      </c>
      <c r="F3" s="3" t="s">
        <v>265</v>
      </c>
    </row>
    <row r="4" ht="19.95" customHeight="1" spans="1:6">
      <c r="A4" s="3" t="s">
        <v>53</v>
      </c>
      <c r="B4" s="3" t="s">
        <v>266</v>
      </c>
      <c r="C4" s="8" t="s">
        <v>267</v>
      </c>
      <c r="D4" s="8" t="s">
        <v>0</v>
      </c>
      <c r="E4" s="3" t="s">
        <v>170</v>
      </c>
      <c r="F4" s="3">
        <v>232</v>
      </c>
    </row>
    <row r="5" ht="19.95" customHeight="1" spans="1:6">
      <c r="A5" s="3" t="s">
        <v>60</v>
      </c>
      <c r="B5" s="3" t="s">
        <v>268</v>
      </c>
      <c r="C5" s="8" t="s">
        <v>171</v>
      </c>
      <c r="D5" s="8" t="s">
        <v>0</v>
      </c>
      <c r="E5" s="3" t="s">
        <v>170</v>
      </c>
      <c r="F5" s="3">
        <v>128</v>
      </c>
    </row>
    <row r="6" ht="19.95" customHeight="1" spans="1:6">
      <c r="A6" s="3" t="s">
        <v>64</v>
      </c>
      <c r="B6" s="3" t="s">
        <v>269</v>
      </c>
      <c r="C6" s="8" t="s">
        <v>172</v>
      </c>
      <c r="D6" s="8" t="s">
        <v>0</v>
      </c>
      <c r="E6" s="3" t="s">
        <v>170</v>
      </c>
      <c r="F6" s="3">
        <v>128</v>
      </c>
    </row>
    <row r="7" ht="19.95" customHeight="1" spans="1:6">
      <c r="A7" s="3" t="s">
        <v>74</v>
      </c>
      <c r="B7" s="3" t="s">
        <v>270</v>
      </c>
      <c r="C7" s="8" t="s">
        <v>173</v>
      </c>
      <c r="D7" s="8" t="s">
        <v>0</v>
      </c>
      <c r="E7" s="3" t="s">
        <v>170</v>
      </c>
      <c r="F7" s="3">
        <v>128</v>
      </c>
    </row>
    <row r="8" ht="19.95" customHeight="1" spans="1:6">
      <c r="A8" s="3" t="s">
        <v>75</v>
      </c>
      <c r="B8" s="3" t="s">
        <v>271</v>
      </c>
      <c r="C8" s="8" t="s">
        <v>174</v>
      </c>
      <c r="D8" s="8" t="s">
        <v>0</v>
      </c>
      <c r="E8" s="3" t="s">
        <v>170</v>
      </c>
      <c r="F8" s="3">
        <v>128</v>
      </c>
    </row>
    <row r="9" ht="19.95" customHeight="1" spans="1:6">
      <c r="A9" s="3" t="s">
        <v>77</v>
      </c>
      <c r="B9" s="3" t="s">
        <v>272</v>
      </c>
      <c r="C9" s="8" t="s">
        <v>175</v>
      </c>
      <c r="D9" s="8" t="s">
        <v>0</v>
      </c>
      <c r="E9" s="3" t="s">
        <v>170</v>
      </c>
      <c r="F9" s="3">
        <v>128</v>
      </c>
    </row>
    <row r="10" ht="19.95" customHeight="1" spans="1:6">
      <c r="A10" s="3" t="s">
        <v>81</v>
      </c>
      <c r="B10" s="3" t="s">
        <v>273</v>
      </c>
      <c r="C10" s="8" t="s">
        <v>274</v>
      </c>
      <c r="D10" s="8" t="s">
        <v>0</v>
      </c>
      <c r="E10" s="3" t="s">
        <v>170</v>
      </c>
      <c r="F10" s="3">
        <v>128</v>
      </c>
    </row>
    <row r="11" ht="19.95" customHeight="1" spans="1:6">
      <c r="A11" s="3" t="s">
        <v>157</v>
      </c>
      <c r="B11" s="3" t="s">
        <v>275</v>
      </c>
      <c r="C11" s="8" t="s">
        <v>276</v>
      </c>
      <c r="D11" s="8" t="s">
        <v>0</v>
      </c>
      <c r="E11" s="3" t="s">
        <v>170</v>
      </c>
      <c r="F11" s="3">
        <v>128</v>
      </c>
    </row>
    <row r="12" ht="19.95" customHeight="1" spans="1:6">
      <c r="A12" s="3" t="s">
        <v>160</v>
      </c>
      <c r="B12" s="3" t="s">
        <v>277</v>
      </c>
      <c r="C12" s="8" t="s">
        <v>148</v>
      </c>
      <c r="D12" s="8" t="s">
        <v>0</v>
      </c>
      <c r="E12" s="3" t="s">
        <v>170</v>
      </c>
      <c r="F12" s="3">
        <v>128</v>
      </c>
    </row>
    <row r="13" ht="19.95" customHeight="1" spans="1:6">
      <c r="A13" s="3" t="s">
        <v>278</v>
      </c>
      <c r="B13" s="3" t="s">
        <v>279</v>
      </c>
      <c r="C13" s="8" t="s">
        <v>183</v>
      </c>
      <c r="D13" s="8" t="s">
        <v>0</v>
      </c>
      <c r="E13" s="3" t="s">
        <v>170</v>
      </c>
      <c r="F13" s="3">
        <v>128</v>
      </c>
    </row>
    <row r="14" ht="19.95" customHeight="1" spans="1:6">
      <c r="A14" s="3" t="s">
        <v>280</v>
      </c>
      <c r="B14" s="3" t="s">
        <v>281</v>
      </c>
      <c r="C14" s="8" t="s">
        <v>184</v>
      </c>
      <c r="D14" s="8" t="s">
        <v>0</v>
      </c>
      <c r="E14" s="3" t="s">
        <v>185</v>
      </c>
      <c r="F14" s="3"/>
    </row>
    <row r="15" ht="19.95" customHeight="1" spans="1:6">
      <c r="A15" s="3" t="s">
        <v>282</v>
      </c>
      <c r="B15" s="3" t="s">
        <v>283</v>
      </c>
      <c r="C15" s="8" t="s">
        <v>152</v>
      </c>
      <c r="D15" s="8" t="s">
        <v>0</v>
      </c>
      <c r="E15" s="3" t="s">
        <v>170</v>
      </c>
      <c r="F15" s="3">
        <v>128</v>
      </c>
    </row>
    <row r="16" ht="19.95" customHeight="1" spans="1:6">
      <c r="A16" s="3" t="s">
        <v>284</v>
      </c>
      <c r="B16" s="3" t="s">
        <v>285</v>
      </c>
      <c r="C16" s="8" t="s">
        <v>154</v>
      </c>
      <c r="D16" s="8" t="s">
        <v>0</v>
      </c>
      <c r="E16" s="3" t="s">
        <v>170</v>
      </c>
      <c r="F16" s="3">
        <v>128</v>
      </c>
    </row>
    <row r="17" ht="19.95" customHeight="1" spans="1:6">
      <c r="A17" s="3" t="s">
        <v>286</v>
      </c>
      <c r="B17" s="3" t="s">
        <v>287</v>
      </c>
      <c r="C17" s="8" t="s">
        <v>156</v>
      </c>
      <c r="D17" s="8" t="s">
        <v>0</v>
      </c>
      <c r="E17" s="3" t="s">
        <v>170</v>
      </c>
      <c r="F17" s="3">
        <v>128</v>
      </c>
    </row>
    <row r="18" ht="19.95" customHeight="1" spans="1:6">
      <c r="A18" s="3" t="s">
        <v>288</v>
      </c>
      <c r="B18" s="3" t="s">
        <v>289</v>
      </c>
      <c r="C18" s="8" t="s">
        <v>159</v>
      </c>
      <c r="D18" s="8" t="s">
        <v>0</v>
      </c>
      <c r="E18" s="3" t="s">
        <v>290</v>
      </c>
      <c r="F18" s="3">
        <v>32</v>
      </c>
    </row>
    <row r="19" ht="19.95" customHeight="1" spans="1:6">
      <c r="A19" s="3" t="s">
        <v>291</v>
      </c>
      <c r="B19" s="3" t="s">
        <v>292</v>
      </c>
      <c r="C19" s="8" t="s">
        <v>188</v>
      </c>
      <c r="D19" s="8" t="s">
        <v>0</v>
      </c>
      <c r="E19" s="3" t="s">
        <v>189</v>
      </c>
      <c r="F19" s="3"/>
    </row>
    <row r="20" ht="19.95" customHeight="1" spans="1:6">
      <c r="A20" s="3" t="s">
        <v>293</v>
      </c>
      <c r="B20" s="3" t="s">
        <v>294</v>
      </c>
      <c r="C20" s="8" t="s">
        <v>295</v>
      </c>
      <c r="D20" s="8" t="s">
        <v>0</v>
      </c>
      <c r="E20" s="3" t="s">
        <v>163</v>
      </c>
      <c r="F20" s="3">
        <v>400</v>
      </c>
    </row>
    <row r="21" spans="1:6">
      <c r="A21" s="3" t="s">
        <v>296</v>
      </c>
      <c r="B21" s="3" t="s">
        <v>297</v>
      </c>
      <c r="C21" s="8" t="s">
        <v>176</v>
      </c>
      <c r="D21" s="8"/>
      <c r="E21" s="3" t="s">
        <v>177</v>
      </c>
      <c r="F21" s="3">
        <v>3.93</v>
      </c>
    </row>
    <row r="22" spans="1:6">
      <c r="A22" s="3" t="s">
        <v>298</v>
      </c>
      <c r="B22" s="3" t="s">
        <v>299</v>
      </c>
      <c r="C22" s="8" t="s">
        <v>178</v>
      </c>
      <c r="D22" s="8"/>
      <c r="E22" s="3" t="s">
        <v>177</v>
      </c>
      <c r="F22" s="3">
        <v>4.83</v>
      </c>
    </row>
    <row r="23" ht="19.95" customHeight="1" spans="1:6">
      <c r="A23" s="3" t="s">
        <v>300</v>
      </c>
      <c r="B23" s="3" t="s">
        <v>301</v>
      </c>
      <c r="C23" s="8" t="s">
        <v>180</v>
      </c>
      <c r="D23" s="8" t="s">
        <v>0</v>
      </c>
      <c r="E23" s="3" t="s">
        <v>181</v>
      </c>
      <c r="F23" s="3">
        <v>1</v>
      </c>
    </row>
    <row r="24" ht="19.95" customHeight="1" spans="1:6">
      <c r="A24" s="3" t="s">
        <v>302</v>
      </c>
      <c r="B24" s="3" t="s">
        <v>303</v>
      </c>
      <c r="C24" s="8" t="s">
        <v>182</v>
      </c>
      <c r="D24" s="8" t="s">
        <v>0</v>
      </c>
      <c r="E24" s="3" t="s">
        <v>181</v>
      </c>
      <c r="F24" s="3">
        <v>3</v>
      </c>
    </row>
    <row r="25" spans="1:6">
      <c r="A25" s="3" t="s">
        <v>304</v>
      </c>
      <c r="B25" s="3" t="s">
        <v>305</v>
      </c>
      <c r="C25" s="8" t="s">
        <v>187</v>
      </c>
      <c r="D25" s="3"/>
      <c r="E25" s="3" t="s">
        <v>181</v>
      </c>
      <c r="F25" s="3">
        <v>23.3</v>
      </c>
    </row>
    <row r="26" spans="1:6">
      <c r="A26" s="9" t="s">
        <v>29</v>
      </c>
      <c r="B26" s="9" t="s">
        <v>0</v>
      </c>
      <c r="C26" s="9" t="s">
        <v>0</v>
      </c>
      <c r="D26" s="9" t="s">
        <v>0</v>
      </c>
      <c r="E26" s="9" t="s">
        <v>0</v>
      </c>
      <c r="F26" s="9" t="s">
        <v>0</v>
      </c>
    </row>
  </sheetData>
  <mergeCells count="3">
    <mergeCell ref="A1:F1"/>
    <mergeCell ref="A2:F2"/>
    <mergeCell ref="A26:F26"/>
  </mergeCells>
  <pageMargins left="2.40138888888889" right="0.708661417322835" top="0.748031496062992" bottom="0.748031496062992" header="0.31496062992126" footer="0.31496062992126"/>
  <pageSetup paperSize="9" scale="91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8"/>
  <sheetViews>
    <sheetView view="pageBreakPreview" zoomScaleNormal="100" workbookViewId="0">
      <selection activeCell="A3" sqref="A3:A5"/>
    </sheetView>
  </sheetViews>
  <sheetFormatPr defaultColWidth="9" defaultRowHeight="14.4"/>
  <cols>
    <col min="1" max="1" width="7" customWidth="1"/>
    <col min="3" max="3" width="14.8796296296296" customWidth="1"/>
    <col min="4" max="4" width="6.11111111111111" customWidth="1"/>
    <col min="5" max="5" width="9.21296296296296" customWidth="1"/>
    <col min="6" max="6" width="8.55555555555556" customWidth="1"/>
    <col min="7" max="7" width="9.55555555555556" customWidth="1"/>
    <col min="8" max="9" width="7.33333333333333" customWidth="1"/>
    <col min="10" max="10" width="7.44444444444444" customWidth="1"/>
    <col min="11" max="11" width="7.66666666666667" customWidth="1"/>
    <col min="12" max="12" width="11.4444444444444" customWidth="1"/>
    <col min="13" max="13" width="10.8796296296296" customWidth="1"/>
    <col min="14" max="14" width="7.33333333333333" customWidth="1"/>
    <col min="15" max="15" width="7.66666666666667" customWidth="1"/>
    <col min="16" max="17" width="9.77777777777778" customWidth="1"/>
  </cols>
  <sheetData>
    <row r="1" ht="28.2" customHeight="1" spans="1:17">
      <c r="A1" s="1" t="s">
        <v>106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8" customHeight="1" spans="1:15">
      <c r="A2" s="69" t="s">
        <v>306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</row>
    <row r="3" spans="1:17">
      <c r="A3" s="91" t="s">
        <v>32</v>
      </c>
      <c r="B3" s="91" t="s">
        <v>108</v>
      </c>
      <c r="C3" s="91" t="s">
        <v>109</v>
      </c>
      <c r="D3" s="91" t="s">
        <v>110</v>
      </c>
      <c r="E3" s="91" t="s">
        <v>111</v>
      </c>
      <c r="F3" s="3" t="s">
        <v>50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>
      <c r="A4" s="92"/>
      <c r="B4" s="92"/>
      <c r="C4" s="92"/>
      <c r="D4" s="92"/>
      <c r="E4" s="92"/>
      <c r="F4" s="3" t="s">
        <v>112</v>
      </c>
      <c r="G4" s="3"/>
      <c r="H4" s="3"/>
      <c r="I4" s="3"/>
      <c r="J4" s="3"/>
      <c r="K4" s="3"/>
      <c r="L4" s="3" t="s">
        <v>113</v>
      </c>
      <c r="M4" s="3"/>
      <c r="N4" s="3"/>
      <c r="O4" s="3"/>
      <c r="P4" s="3"/>
      <c r="Q4" s="3"/>
    </row>
    <row r="5" spans="1:17">
      <c r="A5" s="93"/>
      <c r="B5" s="93"/>
      <c r="C5" s="93"/>
      <c r="D5" s="93"/>
      <c r="E5" s="93"/>
      <c r="F5" s="3" t="s">
        <v>114</v>
      </c>
      <c r="G5" s="3" t="s">
        <v>115</v>
      </c>
      <c r="H5" s="3" t="s">
        <v>116</v>
      </c>
      <c r="I5" s="3" t="s">
        <v>117</v>
      </c>
      <c r="J5" s="3" t="s">
        <v>118</v>
      </c>
      <c r="K5" s="3" t="s">
        <v>119</v>
      </c>
      <c r="L5" s="3" t="s">
        <v>114</v>
      </c>
      <c r="M5" s="3" t="s">
        <v>115</v>
      </c>
      <c r="N5" s="3" t="s">
        <v>116</v>
      </c>
      <c r="O5" s="3" t="s">
        <v>117</v>
      </c>
      <c r="P5" s="3" t="s">
        <v>118</v>
      </c>
      <c r="Q5" s="3" t="s">
        <v>119</v>
      </c>
    </row>
    <row r="6" ht="21" customHeight="1" spans="1:17">
      <c r="A6" s="3" t="s">
        <v>53</v>
      </c>
      <c r="B6" s="3" t="s">
        <v>122</v>
      </c>
      <c r="C6" s="8" t="s">
        <v>88</v>
      </c>
      <c r="D6" s="3" t="s">
        <v>121</v>
      </c>
      <c r="E6" s="3">
        <v>4374.5</v>
      </c>
      <c r="F6" s="3">
        <f>ROUND(L6/$E6,2)</f>
        <v>0</v>
      </c>
      <c r="G6" s="3">
        <f>ROUND(M6/$E6,2)</f>
        <v>0</v>
      </c>
      <c r="H6" s="3"/>
      <c r="I6" s="3"/>
      <c r="J6" s="3">
        <f>ROUND(P6/$E6,2)</f>
        <v>0</v>
      </c>
      <c r="K6" s="3">
        <f>ROUND(Q6/$E6,2)</f>
        <v>0</v>
      </c>
      <c r="L6" s="15">
        <f>'D3-3 分部分项工程量清单综合单价计算表(分页不带材料)~2'!K18</f>
        <v>0</v>
      </c>
      <c r="M6" s="15">
        <f>'D3-3 分部分项工程量清单综合单价计算表(分页不带材料)~2'!F18</f>
        <v>0</v>
      </c>
      <c r="N6" s="15"/>
      <c r="O6" s="15"/>
      <c r="P6" s="15">
        <f>'D3-3 分部分项工程量清单综合单价计算表(分页不带材料)~2'!I18</f>
        <v>0</v>
      </c>
      <c r="Q6" s="15">
        <f>'D3-3 分部分项工程量清单综合单价计算表(分页不带材料)~2'!J18</f>
        <v>0</v>
      </c>
    </row>
    <row r="7" ht="21" customHeight="1" spans="1:17">
      <c r="A7" s="3"/>
      <c r="B7" s="3"/>
      <c r="C7" s="8"/>
      <c r="D7" s="3"/>
      <c r="E7" s="18"/>
      <c r="F7" s="18"/>
      <c r="G7" s="18"/>
      <c r="H7" s="18"/>
      <c r="I7" s="18"/>
      <c r="J7" s="18"/>
      <c r="K7" s="18"/>
      <c r="L7" s="18"/>
      <c r="M7" s="94"/>
      <c r="N7" s="94"/>
      <c r="O7" s="18"/>
      <c r="P7" s="95"/>
      <c r="Q7" s="95"/>
    </row>
    <row r="8" ht="21" customHeight="1" spans="1:17">
      <c r="A8" s="3"/>
      <c r="B8" s="3"/>
      <c r="C8" s="8"/>
      <c r="D8" s="3"/>
      <c r="E8" s="18"/>
      <c r="F8" s="18"/>
      <c r="G8" s="18"/>
      <c r="H8" s="18"/>
      <c r="I8" s="18"/>
      <c r="J8" s="18"/>
      <c r="K8" s="18"/>
      <c r="L8" s="18"/>
      <c r="M8" s="94"/>
      <c r="N8" s="94"/>
      <c r="O8" s="18"/>
      <c r="P8" s="95"/>
      <c r="Q8" s="95"/>
    </row>
    <row r="9" ht="21" customHeight="1" spans="1:17">
      <c r="A9" s="3"/>
      <c r="B9" s="3"/>
      <c r="C9" s="8"/>
      <c r="D9" s="3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6"/>
      <c r="Q9" s="6"/>
    </row>
    <row r="10" ht="21" customHeight="1" spans="1:17">
      <c r="A10" s="3"/>
      <c r="B10" s="3"/>
      <c r="C10" s="8"/>
      <c r="D10" s="3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6"/>
      <c r="Q10" s="6"/>
    </row>
    <row r="11" ht="21" customHeight="1" spans="1:17">
      <c r="A11" s="3" t="s">
        <v>0</v>
      </c>
      <c r="B11" s="3" t="s">
        <v>0</v>
      </c>
      <c r="C11" s="8" t="s">
        <v>0</v>
      </c>
      <c r="D11" s="3" t="s">
        <v>0</v>
      </c>
      <c r="E11" s="18" t="s">
        <v>0</v>
      </c>
      <c r="F11" s="18" t="s">
        <v>0</v>
      </c>
      <c r="G11" s="18"/>
      <c r="H11" s="18"/>
      <c r="I11" s="18"/>
      <c r="J11" s="18"/>
      <c r="K11" s="18"/>
      <c r="L11" s="18" t="s">
        <v>0</v>
      </c>
      <c r="M11" s="18"/>
      <c r="N11" s="18"/>
      <c r="O11" s="18"/>
      <c r="P11" s="6"/>
      <c r="Q11" s="6"/>
    </row>
    <row r="12" ht="21" customHeight="1" spans="1:17">
      <c r="A12" s="3" t="s">
        <v>0</v>
      </c>
      <c r="B12" s="3" t="s">
        <v>0</v>
      </c>
      <c r="C12" s="8" t="s">
        <v>0</v>
      </c>
      <c r="D12" s="3" t="s">
        <v>0</v>
      </c>
      <c r="E12" s="18" t="s">
        <v>0</v>
      </c>
      <c r="F12" s="18" t="s">
        <v>0</v>
      </c>
      <c r="G12" s="18"/>
      <c r="H12" s="18"/>
      <c r="I12" s="18"/>
      <c r="J12" s="18"/>
      <c r="K12" s="18"/>
      <c r="L12" s="18" t="s">
        <v>0</v>
      </c>
      <c r="M12" s="18"/>
      <c r="N12" s="18"/>
      <c r="O12" s="18"/>
      <c r="P12" s="6"/>
      <c r="Q12" s="6"/>
    </row>
    <row r="13" ht="21" customHeight="1" spans="1:17">
      <c r="A13" s="3" t="s">
        <v>0</v>
      </c>
      <c r="B13" s="3" t="s">
        <v>0</v>
      </c>
      <c r="C13" s="8" t="s">
        <v>0</v>
      </c>
      <c r="D13" s="3" t="s">
        <v>0</v>
      </c>
      <c r="E13" s="18" t="s">
        <v>0</v>
      </c>
      <c r="F13" s="18" t="s">
        <v>0</v>
      </c>
      <c r="G13" s="18"/>
      <c r="H13" s="18"/>
      <c r="I13" s="18"/>
      <c r="J13" s="18"/>
      <c r="K13" s="18"/>
      <c r="L13" s="18" t="s">
        <v>0</v>
      </c>
      <c r="M13" s="18"/>
      <c r="N13" s="18"/>
      <c r="O13" s="18"/>
      <c r="P13" s="6"/>
      <c r="Q13" s="6"/>
    </row>
    <row r="14" ht="21" customHeight="1" spans="1:17">
      <c r="A14" s="3" t="s">
        <v>0</v>
      </c>
      <c r="B14" s="3" t="s">
        <v>0</v>
      </c>
      <c r="C14" s="8" t="s">
        <v>0</v>
      </c>
      <c r="D14" s="3" t="s">
        <v>0</v>
      </c>
      <c r="E14" s="18" t="s">
        <v>0</v>
      </c>
      <c r="F14" s="18" t="s">
        <v>0</v>
      </c>
      <c r="G14" s="18"/>
      <c r="H14" s="18"/>
      <c r="I14" s="18"/>
      <c r="J14" s="18"/>
      <c r="K14" s="18"/>
      <c r="L14" s="18" t="s">
        <v>0</v>
      </c>
      <c r="M14" s="18"/>
      <c r="N14" s="18"/>
      <c r="O14" s="18"/>
      <c r="P14" s="6"/>
      <c r="Q14" s="6"/>
    </row>
    <row r="15" ht="21" customHeight="1" spans="1:17">
      <c r="A15" s="3" t="s">
        <v>0</v>
      </c>
      <c r="B15" s="3" t="s">
        <v>0</v>
      </c>
      <c r="C15" s="8" t="s">
        <v>0</v>
      </c>
      <c r="D15" s="3" t="s">
        <v>0</v>
      </c>
      <c r="E15" s="18" t="s">
        <v>0</v>
      </c>
      <c r="F15" s="18" t="s">
        <v>0</v>
      </c>
      <c r="G15" s="18"/>
      <c r="H15" s="18"/>
      <c r="I15" s="18"/>
      <c r="J15" s="18"/>
      <c r="K15" s="18"/>
      <c r="L15" s="18" t="s">
        <v>0</v>
      </c>
      <c r="M15" s="18"/>
      <c r="N15" s="18"/>
      <c r="O15" s="18"/>
      <c r="P15" s="6"/>
      <c r="Q15" s="6"/>
    </row>
    <row r="16" ht="21" customHeight="1" spans="1:17">
      <c r="A16" s="3" t="s">
        <v>0</v>
      </c>
      <c r="B16" s="3" t="s">
        <v>0</v>
      </c>
      <c r="C16" s="8" t="s">
        <v>0</v>
      </c>
      <c r="D16" s="3" t="s">
        <v>0</v>
      </c>
      <c r="E16" s="18" t="s">
        <v>0</v>
      </c>
      <c r="F16" s="18" t="s">
        <v>0</v>
      </c>
      <c r="G16" s="18"/>
      <c r="H16" s="18"/>
      <c r="I16" s="18"/>
      <c r="J16" s="18"/>
      <c r="K16" s="18"/>
      <c r="L16" s="18" t="s">
        <v>0</v>
      </c>
      <c r="M16" s="18"/>
      <c r="N16" s="18"/>
      <c r="O16" s="18"/>
      <c r="P16" s="6"/>
      <c r="Q16" s="6"/>
    </row>
    <row r="17" ht="21" customHeight="1" spans="1:17">
      <c r="A17" s="3" t="s">
        <v>0</v>
      </c>
      <c r="B17" s="3" t="s">
        <v>0</v>
      </c>
      <c r="C17" s="8" t="s">
        <v>0</v>
      </c>
      <c r="D17" s="3" t="s">
        <v>0</v>
      </c>
      <c r="E17" s="18" t="s">
        <v>0</v>
      </c>
      <c r="F17" s="18" t="s">
        <v>0</v>
      </c>
      <c r="G17" s="18"/>
      <c r="H17" s="18"/>
      <c r="I17" s="18"/>
      <c r="J17" s="18"/>
      <c r="K17" s="18"/>
      <c r="L17" s="18" t="s">
        <v>0</v>
      </c>
      <c r="M17" s="18"/>
      <c r="N17" s="18"/>
      <c r="O17" s="18"/>
      <c r="P17" s="6"/>
      <c r="Q17" s="6"/>
    </row>
    <row r="18" ht="21" customHeight="1" spans="1:17">
      <c r="A18" s="3" t="s">
        <v>0</v>
      </c>
      <c r="B18" s="3" t="s">
        <v>0</v>
      </c>
      <c r="C18" s="8" t="s">
        <v>0</v>
      </c>
      <c r="D18" s="3" t="s">
        <v>0</v>
      </c>
      <c r="E18" s="18" t="s">
        <v>0</v>
      </c>
      <c r="F18" s="18" t="s">
        <v>0</v>
      </c>
      <c r="G18" s="18"/>
      <c r="H18" s="18"/>
      <c r="I18" s="18"/>
      <c r="J18" s="18"/>
      <c r="K18" s="18"/>
      <c r="L18" s="18" t="s">
        <v>0</v>
      </c>
      <c r="M18" s="18"/>
      <c r="N18" s="18"/>
      <c r="O18" s="18"/>
      <c r="P18" s="6"/>
      <c r="Q18" s="6"/>
    </row>
    <row r="19" ht="21" customHeight="1" spans="1:17">
      <c r="A19" s="3" t="s">
        <v>0</v>
      </c>
      <c r="B19" s="3" t="s">
        <v>0</v>
      </c>
      <c r="C19" s="8" t="s">
        <v>0</v>
      </c>
      <c r="D19" s="3" t="s">
        <v>0</v>
      </c>
      <c r="E19" s="18" t="s">
        <v>0</v>
      </c>
      <c r="F19" s="18" t="s">
        <v>0</v>
      </c>
      <c r="G19" s="18"/>
      <c r="H19" s="18"/>
      <c r="I19" s="18"/>
      <c r="J19" s="18"/>
      <c r="K19" s="18"/>
      <c r="L19" s="18" t="s">
        <v>0</v>
      </c>
      <c r="M19" s="18"/>
      <c r="N19" s="18"/>
      <c r="O19" s="18"/>
      <c r="P19" s="6"/>
      <c r="Q19" s="6"/>
    </row>
    <row r="20" ht="21" customHeight="1" spans="1:17">
      <c r="A20" s="3" t="s">
        <v>0</v>
      </c>
      <c r="B20" s="3" t="s">
        <v>0</v>
      </c>
      <c r="C20" s="8" t="s">
        <v>0</v>
      </c>
      <c r="D20" s="3" t="s">
        <v>0</v>
      </c>
      <c r="E20" s="18" t="s">
        <v>0</v>
      </c>
      <c r="F20" s="18" t="s">
        <v>0</v>
      </c>
      <c r="G20" s="18"/>
      <c r="H20" s="18"/>
      <c r="I20" s="18"/>
      <c r="J20" s="18"/>
      <c r="K20" s="18"/>
      <c r="L20" s="18" t="s">
        <v>0</v>
      </c>
      <c r="M20" s="18"/>
      <c r="N20" s="18"/>
      <c r="O20" s="18"/>
      <c r="P20" s="6"/>
      <c r="Q20" s="6"/>
    </row>
    <row r="21" ht="21" customHeight="1" spans="1:17">
      <c r="A21" s="3" t="s">
        <v>0</v>
      </c>
      <c r="B21" s="3" t="s">
        <v>0</v>
      </c>
      <c r="C21" s="8" t="s">
        <v>0</v>
      </c>
      <c r="D21" s="3" t="s">
        <v>0</v>
      </c>
      <c r="E21" s="18" t="s">
        <v>0</v>
      </c>
      <c r="F21" s="18" t="s">
        <v>0</v>
      </c>
      <c r="G21" s="18"/>
      <c r="H21" s="18"/>
      <c r="I21" s="18"/>
      <c r="J21" s="18"/>
      <c r="K21" s="18"/>
      <c r="L21" s="18" t="s">
        <v>0</v>
      </c>
      <c r="M21" s="18"/>
      <c r="N21" s="18"/>
      <c r="O21" s="18"/>
      <c r="P21" s="6"/>
      <c r="Q21" s="6"/>
    </row>
    <row r="22" ht="21" customHeight="1" spans="1:17">
      <c r="A22" s="3" t="s">
        <v>0</v>
      </c>
      <c r="B22" s="3" t="s">
        <v>0</v>
      </c>
      <c r="C22" s="8" t="s">
        <v>0</v>
      </c>
      <c r="D22" s="3" t="s">
        <v>0</v>
      </c>
      <c r="E22" s="18" t="s">
        <v>0</v>
      </c>
      <c r="F22" s="18" t="s">
        <v>0</v>
      </c>
      <c r="G22" s="18"/>
      <c r="H22" s="18"/>
      <c r="I22" s="18"/>
      <c r="J22" s="18"/>
      <c r="K22" s="18"/>
      <c r="L22" s="18" t="s">
        <v>0</v>
      </c>
      <c r="M22" s="18"/>
      <c r="N22" s="18"/>
      <c r="O22" s="18"/>
      <c r="P22" s="6"/>
      <c r="Q22" s="6"/>
    </row>
    <row r="23" ht="21" customHeight="1" spans="1:17">
      <c r="A23" s="3" t="s">
        <v>0</v>
      </c>
      <c r="B23" s="3" t="s">
        <v>0</v>
      </c>
      <c r="C23" s="8" t="s">
        <v>0</v>
      </c>
      <c r="D23" s="3" t="s">
        <v>0</v>
      </c>
      <c r="E23" s="18" t="s">
        <v>0</v>
      </c>
      <c r="F23" s="18" t="s">
        <v>0</v>
      </c>
      <c r="G23" s="18"/>
      <c r="H23" s="18"/>
      <c r="I23" s="18"/>
      <c r="J23" s="18"/>
      <c r="K23" s="18"/>
      <c r="L23" s="18" t="s">
        <v>0</v>
      </c>
      <c r="M23" s="18"/>
      <c r="N23" s="18"/>
      <c r="O23" s="18"/>
      <c r="P23" s="6"/>
      <c r="Q23" s="6"/>
    </row>
    <row r="24" ht="21" customHeight="1" spans="1:17">
      <c r="A24" s="3" t="s">
        <v>0</v>
      </c>
      <c r="B24" s="3" t="s">
        <v>0</v>
      </c>
      <c r="C24" s="8" t="s">
        <v>0</v>
      </c>
      <c r="D24" s="3" t="s">
        <v>0</v>
      </c>
      <c r="E24" s="18" t="s">
        <v>0</v>
      </c>
      <c r="F24" s="18" t="s">
        <v>0</v>
      </c>
      <c r="G24" s="18"/>
      <c r="H24" s="18"/>
      <c r="I24" s="18"/>
      <c r="J24" s="18"/>
      <c r="K24" s="18"/>
      <c r="L24" s="18" t="s">
        <v>0</v>
      </c>
      <c r="M24" s="18"/>
      <c r="N24" s="18"/>
      <c r="O24" s="18"/>
      <c r="P24" s="6"/>
      <c r="Q24" s="6"/>
    </row>
    <row r="25" ht="21" customHeight="1" spans="1:17">
      <c r="A25" s="70" t="s">
        <v>0</v>
      </c>
      <c r="B25" s="70" t="s">
        <v>0</v>
      </c>
      <c r="C25" s="3" t="s">
        <v>127</v>
      </c>
      <c r="D25" s="70" t="s">
        <v>0</v>
      </c>
      <c r="E25" s="70" t="s">
        <v>0</v>
      </c>
      <c r="F25" s="70" t="s">
        <v>0</v>
      </c>
      <c r="G25" s="3"/>
      <c r="H25" s="3"/>
      <c r="I25" s="3"/>
      <c r="J25" s="3"/>
      <c r="K25" s="3"/>
      <c r="L25" s="3">
        <f t="shared" ref="L25:Q25" si="0">SUM(L6:L24)</f>
        <v>0</v>
      </c>
      <c r="M25" s="3">
        <f t="shared" si="0"/>
        <v>0</v>
      </c>
      <c r="N25" s="3"/>
      <c r="O25" s="3"/>
      <c r="P25" s="3">
        <f t="shared" si="0"/>
        <v>0</v>
      </c>
      <c r="Q25" s="3">
        <f t="shared" si="0"/>
        <v>0</v>
      </c>
    </row>
    <row r="26" ht="21" customHeight="1" spans="1:17">
      <c r="A26" s="70" t="s">
        <v>0</v>
      </c>
      <c r="B26" s="70" t="s">
        <v>0</v>
      </c>
      <c r="C26" s="3" t="s">
        <v>128</v>
      </c>
      <c r="D26" s="70" t="s">
        <v>0</v>
      </c>
      <c r="E26" s="70" t="s">
        <v>0</v>
      </c>
      <c r="F26" s="70" t="s">
        <v>0</v>
      </c>
      <c r="G26" s="3"/>
      <c r="H26" s="3"/>
      <c r="I26" s="3"/>
      <c r="J26" s="3"/>
      <c r="K26" s="3"/>
      <c r="L26" s="3">
        <f>L25</f>
        <v>0</v>
      </c>
      <c r="M26" s="3">
        <f t="shared" ref="M26:Q26" si="1">M25</f>
        <v>0</v>
      </c>
      <c r="N26" s="3"/>
      <c r="O26" s="3"/>
      <c r="P26" s="3">
        <f t="shared" si="1"/>
        <v>0</v>
      </c>
      <c r="Q26" s="3">
        <f t="shared" si="1"/>
        <v>0</v>
      </c>
    </row>
    <row r="27" spans="1:1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customHeight="1" spans="1:17">
      <c r="A28" s="20" t="s">
        <v>29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</row>
  </sheetData>
  <mergeCells count="11">
    <mergeCell ref="A1:Q1"/>
    <mergeCell ref="A2:L2"/>
    <mergeCell ref="F3:Q3"/>
    <mergeCell ref="F4:K4"/>
    <mergeCell ref="L4:Q4"/>
    <mergeCell ref="A28:Q28"/>
    <mergeCell ref="A3:A5"/>
    <mergeCell ref="B3:B5"/>
    <mergeCell ref="C3:C5"/>
    <mergeCell ref="D3:D5"/>
    <mergeCell ref="E3:E5"/>
  </mergeCells>
  <pageMargins left="0.708661417322835" right="0.708661417322835" top="0.748031496062992" bottom="0.748031496062992" header="0.31496062992126" footer="0.31496062992126"/>
  <pageSetup paperSize="9" scale="85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9"/>
  <sheetViews>
    <sheetView showZeros="0" view="pageBreakPreview" zoomScaleNormal="100" topLeftCell="A3" workbookViewId="0">
      <selection activeCell="C4" sqref="C4:I4"/>
    </sheetView>
  </sheetViews>
  <sheetFormatPr defaultColWidth="9" defaultRowHeight="14.4"/>
  <cols>
    <col min="1" max="1" width="5.21296296296296" customWidth="1"/>
    <col min="2" max="2" width="16.8796296296296" customWidth="1"/>
    <col min="3" max="3" width="14.7777777777778" customWidth="1"/>
    <col min="4" max="4" width="6.11111111111111" customWidth="1"/>
    <col min="5" max="6" width="13.1111111111111" customWidth="1"/>
    <col min="7" max="10" width="11.8796296296296" customWidth="1"/>
    <col min="11" max="11" width="13.1111111111111" customWidth="1"/>
  </cols>
  <sheetData>
    <row r="1" ht="23.4" customHeight="1" spans="1:11">
      <c r="A1" s="36" t="s">
        <v>0</v>
      </c>
      <c r="B1" s="36" t="s">
        <v>0</v>
      </c>
      <c r="C1" s="85" t="s">
        <v>307</v>
      </c>
      <c r="D1" s="85" t="s">
        <v>0</v>
      </c>
      <c r="E1" s="85" t="s">
        <v>0</v>
      </c>
      <c r="F1" s="85" t="s">
        <v>0</v>
      </c>
      <c r="G1" s="85" t="s">
        <v>0</v>
      </c>
      <c r="H1" s="85" t="s">
        <v>0</v>
      </c>
      <c r="I1" s="85" t="s">
        <v>0</v>
      </c>
      <c r="J1" s="20" t="s">
        <v>31</v>
      </c>
      <c r="K1" s="20" t="s">
        <v>0</v>
      </c>
    </row>
    <row r="2" spans="1:11">
      <c r="A2" s="24" t="s">
        <v>130</v>
      </c>
      <c r="B2" s="24" t="s">
        <v>0</v>
      </c>
      <c r="C2" s="24" t="s">
        <v>0</v>
      </c>
      <c r="D2" s="24" t="s">
        <v>0</v>
      </c>
      <c r="E2" s="24" t="s">
        <v>0</v>
      </c>
      <c r="F2" s="24" t="s">
        <v>0</v>
      </c>
      <c r="G2" s="24" t="s">
        <v>0</v>
      </c>
      <c r="H2" s="24" t="s">
        <v>0</v>
      </c>
      <c r="I2" s="24" t="s">
        <v>0</v>
      </c>
      <c r="J2" s="24" t="s">
        <v>0</v>
      </c>
      <c r="K2" s="24" t="s">
        <v>0</v>
      </c>
    </row>
    <row r="3" s="22" customFormat="1" ht="22.05" customHeight="1" spans="1:11">
      <c r="A3" s="20" t="s">
        <v>24</v>
      </c>
      <c r="B3" s="20" t="s">
        <v>0</v>
      </c>
      <c r="C3" s="13" t="s">
        <v>308</v>
      </c>
      <c r="D3" s="13" t="s">
        <v>0</v>
      </c>
      <c r="E3" s="13" t="s">
        <v>0</v>
      </c>
      <c r="F3" s="13" t="s">
        <v>0</v>
      </c>
      <c r="G3" s="13" t="s">
        <v>0</v>
      </c>
      <c r="H3" s="13" t="s">
        <v>0</v>
      </c>
      <c r="I3" s="13" t="s">
        <v>0</v>
      </c>
      <c r="J3" s="13" t="s">
        <v>132</v>
      </c>
      <c r="K3" s="13" t="s">
        <v>0</v>
      </c>
    </row>
    <row r="4" s="22" customFormat="1" ht="22.05" customHeight="1" spans="1:11">
      <c r="A4" s="20" t="s">
        <v>133</v>
      </c>
      <c r="B4" s="20" t="s">
        <v>0</v>
      </c>
      <c r="C4" s="13" t="s">
        <v>309</v>
      </c>
      <c r="D4" s="13" t="s">
        <v>0</v>
      </c>
      <c r="E4" s="13" t="s">
        <v>0</v>
      </c>
      <c r="F4" s="13" t="s">
        <v>0</v>
      </c>
      <c r="G4" s="13" t="s">
        <v>0</v>
      </c>
      <c r="H4" s="13" t="s">
        <v>0</v>
      </c>
      <c r="I4" s="13" t="s">
        <v>0</v>
      </c>
      <c r="J4" s="13" t="s">
        <v>310</v>
      </c>
      <c r="K4" s="13" t="s">
        <v>0</v>
      </c>
    </row>
    <row r="5" s="22" customFormat="1" ht="22.05" customHeight="1" spans="1:11">
      <c r="A5" s="20" t="s">
        <v>136</v>
      </c>
      <c r="B5" s="20" t="s">
        <v>0</v>
      </c>
      <c r="C5" s="13" t="s">
        <v>311</v>
      </c>
      <c r="D5" s="13" t="s">
        <v>0</v>
      </c>
      <c r="E5" s="13" t="s">
        <v>0</v>
      </c>
      <c r="F5" s="13" t="s">
        <v>0</v>
      </c>
      <c r="G5" s="13" t="s">
        <v>0</v>
      </c>
      <c r="H5" s="13" t="s">
        <v>0</v>
      </c>
      <c r="I5" s="13" t="s">
        <v>0</v>
      </c>
      <c r="J5" s="13" t="str">
        <f>"综合单价："&amp;M$18&amp;"元"</f>
        <v>综合单价：0元</v>
      </c>
      <c r="K5" s="13" t="s">
        <v>0</v>
      </c>
    </row>
    <row r="6" spans="1:11">
      <c r="A6" s="39" t="s">
        <v>32</v>
      </c>
      <c r="B6" s="39" t="s">
        <v>138</v>
      </c>
      <c r="C6" s="39" t="s">
        <v>139</v>
      </c>
      <c r="D6" s="39" t="s">
        <v>110</v>
      </c>
      <c r="E6" s="39" t="s">
        <v>140</v>
      </c>
      <c r="F6" s="39" t="s">
        <v>141</v>
      </c>
      <c r="G6" s="39" t="s">
        <v>0</v>
      </c>
      <c r="H6" s="39" t="s">
        <v>0</v>
      </c>
      <c r="I6" s="39" t="s">
        <v>0</v>
      </c>
      <c r="J6" s="39" t="s">
        <v>0</v>
      </c>
      <c r="K6" s="39" t="s">
        <v>0</v>
      </c>
    </row>
    <row r="7" spans="1:11">
      <c r="A7" s="39" t="s">
        <v>0</v>
      </c>
      <c r="B7" s="39" t="s">
        <v>0</v>
      </c>
      <c r="C7" s="39" t="s">
        <v>0</v>
      </c>
      <c r="D7" s="39" t="s">
        <v>0</v>
      </c>
      <c r="E7" s="39" t="s">
        <v>0</v>
      </c>
      <c r="F7" s="39" t="s">
        <v>115</v>
      </c>
      <c r="G7" s="39" t="s">
        <v>116</v>
      </c>
      <c r="H7" s="39" t="s">
        <v>117</v>
      </c>
      <c r="I7" s="39" t="s">
        <v>118</v>
      </c>
      <c r="J7" s="39" t="s">
        <v>119</v>
      </c>
      <c r="K7" s="39" t="s">
        <v>142</v>
      </c>
    </row>
    <row r="8" s="83" customFormat="1" ht="22.05" customHeight="1" spans="1:11">
      <c r="A8" s="39">
        <v>1</v>
      </c>
      <c r="B8" s="39" t="s">
        <v>312</v>
      </c>
      <c r="C8" s="39" t="s">
        <v>313</v>
      </c>
      <c r="D8" s="39" t="s">
        <v>121</v>
      </c>
      <c r="E8" s="39">
        <v>4374.5</v>
      </c>
      <c r="F8" s="39">
        <f>'D3-4 分部分项工程量清单综合单价计算表(分页带材料)【中~'!F8</f>
        <v>0</v>
      </c>
      <c r="G8" s="39" t="str">
        <f>'D3-4 分部分项工程量清单综合单价计算表(分页带材料)【中~'!G8</f>
        <v/>
      </c>
      <c r="H8" s="39" t="str">
        <f>'D3-4 分部分项工程量清单综合单价计算表(分页带材料)【中~'!H8</f>
        <v/>
      </c>
      <c r="I8" s="39">
        <f>'D3-4 分部分项工程量清单综合单价计算表(分页带材料)【中~'!I8</f>
        <v>0</v>
      </c>
      <c r="J8" s="39">
        <f>'D3-4 分部分项工程量清单综合单价计算表(分页带材料)【中~'!J8</f>
        <v>0</v>
      </c>
      <c r="K8" s="39">
        <f>'D3-4 分部分项工程量清单综合单价计算表(分页带材料)【中~'!K8</f>
        <v>0</v>
      </c>
    </row>
    <row r="9" s="83" customFormat="1" ht="22.05" customHeight="1" spans="1:11">
      <c r="A9" s="39">
        <v>2</v>
      </c>
      <c r="B9" s="39" t="s">
        <v>314</v>
      </c>
      <c r="C9" s="39" t="s">
        <v>315</v>
      </c>
      <c r="D9" s="39" t="s">
        <v>121</v>
      </c>
      <c r="E9" s="39">
        <v>4374.5</v>
      </c>
      <c r="F9" s="39">
        <f>'D3-4 分部分项工程量清单综合单价计算表(分页带材料)【中~'!F19</f>
        <v>0</v>
      </c>
      <c r="G9" s="39">
        <f>'D3-4 分部分项工程量清单综合单价计算表(分页带材料)【中~'!G19</f>
        <v>0</v>
      </c>
      <c r="H9" s="39">
        <f>'D3-4 分部分项工程量清单综合单价计算表(分页带材料)【中~'!H19</f>
        <v>0</v>
      </c>
      <c r="I9" s="39">
        <f>'D3-4 分部分项工程量清单综合单价计算表(分页带材料)【中~'!I19</f>
        <v>0</v>
      </c>
      <c r="J9" s="39">
        <f>'D3-4 分部分项工程量清单综合单价计算表(分页带材料)【中~'!J19</f>
        <v>0</v>
      </c>
      <c r="K9" s="39">
        <f>'D3-4 分部分项工程量清单综合单价计算表(分页带材料)【中~'!K19</f>
        <v>0</v>
      </c>
    </row>
    <row r="10" s="83" customFormat="1" ht="22.05" customHeight="1" spans="1:11">
      <c r="A10" s="39">
        <v>3</v>
      </c>
      <c r="B10" s="39" t="s">
        <v>316</v>
      </c>
      <c r="C10" s="39" t="s">
        <v>159</v>
      </c>
      <c r="D10" s="39" t="s">
        <v>121</v>
      </c>
      <c r="E10" s="39">
        <v>4374.5</v>
      </c>
      <c r="F10" s="39">
        <f>'D3-4 分部分项工程量清单综合单价计算表(分页带材料)【中~'!F22</f>
        <v>0</v>
      </c>
      <c r="G10" s="39">
        <f>'D3-4 分部分项工程量清单综合单价计算表(分页带材料)【中~'!G22</f>
        <v>0</v>
      </c>
      <c r="H10" s="39" t="str">
        <f>'D3-4 分部分项工程量清单综合单价计算表(分页带材料)【中~'!H22</f>
        <v/>
      </c>
      <c r="I10" s="39">
        <f>'D3-4 分部分项工程量清单综合单价计算表(分页带材料)【中~'!I22</f>
        <v>0</v>
      </c>
      <c r="J10" s="39">
        <f>'D3-4 分部分项工程量清单综合单价计算表(分页带材料)【中~'!J22</f>
        <v>0</v>
      </c>
      <c r="K10" s="39">
        <f>'D3-4 分部分项工程量清单综合单价计算表(分页带材料)【中~'!K22</f>
        <v>0</v>
      </c>
    </row>
    <row r="11" s="83" customFormat="1" ht="22.05" customHeight="1" spans="1:11">
      <c r="A11" s="86"/>
      <c r="B11" s="77"/>
      <c r="C11" s="77"/>
      <c r="D11" s="39"/>
      <c r="E11" s="61"/>
      <c r="F11" s="45"/>
      <c r="G11" s="39"/>
      <c r="H11" s="39"/>
      <c r="I11" s="90"/>
      <c r="J11" s="90"/>
      <c r="K11" s="45"/>
    </row>
    <row r="12" s="83" customFormat="1" ht="22.05" customHeight="1" spans="1:11">
      <c r="A12" s="86"/>
      <c r="B12" s="77"/>
      <c r="C12" s="77"/>
      <c r="D12" s="39"/>
      <c r="E12" s="61"/>
      <c r="F12" s="87"/>
      <c r="G12" s="61"/>
      <c r="H12" s="61"/>
      <c r="I12" s="90"/>
      <c r="J12" s="90"/>
      <c r="K12" s="45"/>
    </row>
    <row r="13" s="83" customFormat="1" ht="22.05" customHeight="1" spans="1:11">
      <c r="A13" s="39"/>
      <c r="B13" s="77"/>
      <c r="C13" s="75"/>
      <c r="D13" s="39"/>
      <c r="E13" s="61"/>
      <c r="F13" s="87"/>
      <c r="G13" s="61"/>
      <c r="H13" s="61"/>
      <c r="I13" s="90"/>
      <c r="J13" s="90"/>
      <c r="K13" s="45"/>
    </row>
    <row r="14" s="83" customFormat="1" ht="22.05" customHeight="1" spans="1:11">
      <c r="A14" s="39"/>
      <c r="B14" s="77"/>
      <c r="C14" s="75"/>
      <c r="D14" s="39"/>
      <c r="E14" s="61"/>
      <c r="F14" s="87"/>
      <c r="G14" s="61"/>
      <c r="H14" s="61"/>
      <c r="I14" s="90"/>
      <c r="J14" s="90"/>
      <c r="K14" s="45"/>
    </row>
    <row r="15" s="83" customFormat="1" ht="22.05" customHeight="1" spans="1:11">
      <c r="A15" s="39"/>
      <c r="B15" s="77"/>
      <c r="C15" s="88"/>
      <c r="D15" s="39"/>
      <c r="E15" s="61"/>
      <c r="F15" s="87"/>
      <c r="G15" s="61"/>
      <c r="H15" s="61"/>
      <c r="I15" s="90"/>
      <c r="J15" s="90"/>
      <c r="K15" s="45"/>
    </row>
    <row r="16" s="83" customFormat="1" ht="22.05" customHeight="1" spans="1:11">
      <c r="A16" s="39"/>
      <c r="B16" s="79"/>
      <c r="C16" s="75"/>
      <c r="D16" s="39"/>
      <c r="E16" s="61"/>
      <c r="F16" s="87"/>
      <c r="G16" s="89"/>
      <c r="H16" s="89"/>
      <c r="I16" s="90"/>
      <c r="J16" s="90"/>
      <c r="K16" s="45"/>
    </row>
    <row r="17" s="83" customFormat="1" ht="22.05" customHeight="1" spans="1:11">
      <c r="A17" s="39"/>
      <c r="B17" s="77"/>
      <c r="C17" s="77"/>
      <c r="D17" s="39"/>
      <c r="E17" s="61"/>
      <c r="F17" s="87"/>
      <c r="G17" s="61"/>
      <c r="H17" s="61"/>
      <c r="I17" s="90"/>
      <c r="J17" s="90"/>
      <c r="K17" s="45"/>
    </row>
    <row r="18" s="83" customFormat="1" ht="22.05" customHeight="1" spans="1:13">
      <c r="A18" s="39"/>
      <c r="B18" s="39"/>
      <c r="C18" s="39" t="s">
        <v>164</v>
      </c>
      <c r="D18" s="39"/>
      <c r="E18" s="61"/>
      <c r="F18" s="81">
        <f t="shared" ref="F18:K18" si="0">SUM(F8:F17)</f>
        <v>0</v>
      </c>
      <c r="G18" s="39"/>
      <c r="H18" s="39"/>
      <c r="I18" s="81">
        <f t="shared" si="0"/>
        <v>0</v>
      </c>
      <c r="J18" s="81">
        <f t="shared" si="0"/>
        <v>0</v>
      </c>
      <c r="K18" s="39">
        <f>SUM(F18:J18)</f>
        <v>0</v>
      </c>
      <c r="M18" s="83">
        <f>ROUND(K18/E10,2)</f>
        <v>0</v>
      </c>
    </row>
    <row r="19" ht="125.4" customHeight="1"/>
    <row r="21" s="84" customFormat="1" ht="24.6" customHeight="1" spans="1:11">
      <c r="A21"/>
      <c r="B21"/>
      <c r="C21"/>
      <c r="D21"/>
      <c r="E21"/>
      <c r="F21"/>
      <c r="G21"/>
      <c r="H21"/>
      <c r="I21"/>
      <c r="J21"/>
      <c r="K21"/>
    </row>
    <row r="23" s="22" customFormat="1" ht="22.05" customHeight="1" spans="1:11">
      <c r="A23"/>
      <c r="B23"/>
      <c r="C23"/>
      <c r="D23"/>
      <c r="E23"/>
      <c r="F23"/>
      <c r="G23"/>
      <c r="H23"/>
      <c r="I23"/>
      <c r="J23"/>
      <c r="K23"/>
    </row>
    <row r="24" s="22" customFormat="1" ht="22.05" customHeight="1" spans="1:11">
      <c r="A24"/>
      <c r="B24"/>
      <c r="C24"/>
      <c r="D24"/>
      <c r="E24"/>
      <c r="F24"/>
      <c r="G24"/>
      <c r="H24"/>
      <c r="I24"/>
      <c r="J24"/>
      <c r="K24"/>
    </row>
    <row r="25" s="22" customFormat="1" ht="22.05" customHeight="1" spans="1:11">
      <c r="A25"/>
      <c r="B25"/>
      <c r="C25"/>
      <c r="D25"/>
      <c r="E25"/>
      <c r="F25"/>
      <c r="G25"/>
      <c r="H25"/>
      <c r="I25"/>
      <c r="J25"/>
      <c r="K25"/>
    </row>
    <row r="28" s="83" customFormat="1" ht="22.05" customHeight="1" spans="1:11">
      <c r="A28"/>
      <c r="B28"/>
      <c r="C28"/>
      <c r="D28"/>
      <c r="E28"/>
      <c r="F28"/>
      <c r="G28"/>
      <c r="H28"/>
      <c r="I28"/>
      <c r="J28"/>
      <c r="K28"/>
    </row>
    <row r="29" s="83" customFormat="1" ht="22.05" customHeight="1" spans="1:11">
      <c r="A29"/>
      <c r="B29"/>
      <c r="C29"/>
      <c r="D29"/>
      <c r="E29"/>
      <c r="F29"/>
      <c r="G29"/>
      <c r="H29"/>
      <c r="I29"/>
      <c r="J29"/>
      <c r="K29"/>
    </row>
    <row r="30" s="83" customFormat="1" ht="22.05" customHeight="1" spans="1:11">
      <c r="A30"/>
      <c r="B30"/>
      <c r="C30"/>
      <c r="D30"/>
      <c r="E30"/>
      <c r="F30"/>
      <c r="G30"/>
      <c r="H30"/>
      <c r="I30"/>
      <c r="J30"/>
      <c r="K30"/>
    </row>
    <row r="31" s="83" customFormat="1" ht="22.05" customHeight="1" spans="1:11">
      <c r="A31"/>
      <c r="B31"/>
      <c r="C31"/>
      <c r="D31"/>
      <c r="E31"/>
      <c r="F31"/>
      <c r="G31"/>
      <c r="H31"/>
      <c r="I31"/>
      <c r="J31"/>
      <c r="K31"/>
    </row>
    <row r="32" s="83" customFormat="1" ht="22.05" customHeight="1" spans="1:11">
      <c r="A32"/>
      <c r="B32"/>
      <c r="C32"/>
      <c r="D32"/>
      <c r="E32"/>
      <c r="F32"/>
      <c r="G32"/>
      <c r="H32"/>
      <c r="I32"/>
      <c r="J32"/>
      <c r="K32"/>
    </row>
    <row r="33" s="83" customFormat="1" ht="22.05" customHeight="1" spans="1:11">
      <c r="A33"/>
      <c r="B33"/>
      <c r="C33"/>
      <c r="D33"/>
      <c r="E33"/>
      <c r="F33"/>
      <c r="G33"/>
      <c r="H33"/>
      <c r="I33"/>
      <c r="J33"/>
      <c r="K33"/>
    </row>
    <row r="34" s="83" customFormat="1" ht="22.05" customHeight="1" spans="1:11">
      <c r="A34"/>
      <c r="B34"/>
      <c r="C34"/>
      <c r="D34"/>
      <c r="E34"/>
      <c r="F34"/>
      <c r="G34"/>
      <c r="H34"/>
      <c r="I34"/>
      <c r="J34"/>
      <c r="K34"/>
    </row>
    <row r="35" s="83" customFormat="1" ht="22.05" customHeight="1" spans="1:11">
      <c r="A35"/>
      <c r="B35"/>
      <c r="C35"/>
      <c r="D35"/>
      <c r="E35"/>
      <c r="F35"/>
      <c r="G35"/>
      <c r="H35"/>
      <c r="I35"/>
      <c r="J35"/>
      <c r="K35"/>
    </row>
    <row r="36" s="83" customFormat="1" ht="22.05" customHeight="1" spans="1:11">
      <c r="A36"/>
      <c r="B36"/>
      <c r="C36"/>
      <c r="D36"/>
      <c r="E36"/>
      <c r="F36"/>
      <c r="G36"/>
      <c r="H36"/>
      <c r="I36"/>
      <c r="J36"/>
      <c r="K36"/>
    </row>
    <row r="37" s="83" customFormat="1" ht="22.05" customHeight="1" spans="1:11">
      <c r="A37"/>
      <c r="B37"/>
      <c r="C37"/>
      <c r="D37"/>
      <c r="E37"/>
      <c r="F37"/>
      <c r="G37"/>
      <c r="H37"/>
      <c r="I37"/>
      <c r="J37"/>
      <c r="K37"/>
    </row>
    <row r="38" s="83" customFormat="1" ht="22.05" customHeight="1" spans="1:13">
      <c r="A38"/>
      <c r="B38"/>
      <c r="C38"/>
      <c r="D38"/>
      <c r="E38"/>
      <c r="F38"/>
      <c r="G38"/>
      <c r="H38"/>
      <c r="I38"/>
      <c r="J38"/>
      <c r="K38"/>
      <c r="M38" s="83" t="e">
        <f>ROUND(K38/E37,2)</f>
        <v>#DIV/0!</v>
      </c>
    </row>
    <row r="39" ht="125.4" customHeight="1"/>
    <row r="41" ht="22.2" customHeight="1"/>
    <row r="43" ht="22.05" customHeight="1"/>
    <row r="44" ht="22.05" customHeight="1"/>
    <row r="45" ht="22.05" customHeight="1"/>
    <row r="48" s="83" customFormat="1" ht="22.05" customHeight="1" spans="1:11">
      <c r="A48"/>
      <c r="B48"/>
      <c r="C48"/>
      <c r="D48"/>
      <c r="E48"/>
      <c r="F48"/>
      <c r="G48"/>
      <c r="H48"/>
      <c r="I48"/>
      <c r="J48"/>
      <c r="K48"/>
    </row>
    <row r="49" s="83" customFormat="1" ht="22.05" customHeight="1" spans="1:11">
      <c r="A49"/>
      <c r="B49"/>
      <c r="C49"/>
      <c r="D49"/>
      <c r="E49"/>
      <c r="F49"/>
      <c r="G49"/>
      <c r="H49"/>
      <c r="I49"/>
      <c r="J49"/>
      <c r="K49"/>
    </row>
    <row r="50" s="83" customFormat="1" ht="22.05" customHeight="1" spans="1:11">
      <c r="A50"/>
      <c r="B50"/>
      <c r="C50"/>
      <c r="D50"/>
      <c r="E50"/>
      <c r="F50"/>
      <c r="G50"/>
      <c r="H50"/>
      <c r="I50"/>
      <c r="J50"/>
      <c r="K50"/>
    </row>
    <row r="51" s="83" customFormat="1" ht="22.05" customHeight="1" spans="1:11">
      <c r="A51"/>
      <c r="B51"/>
      <c r="C51"/>
      <c r="D51"/>
      <c r="E51"/>
      <c r="F51"/>
      <c r="G51"/>
      <c r="H51"/>
      <c r="I51"/>
      <c r="J51"/>
      <c r="K51"/>
    </row>
    <row r="52" s="83" customFormat="1" ht="22.05" customHeight="1" spans="1:11">
      <c r="A52"/>
      <c r="B52"/>
      <c r="C52"/>
      <c r="D52"/>
      <c r="E52"/>
      <c r="F52"/>
      <c r="G52"/>
      <c r="H52"/>
      <c r="I52"/>
      <c r="J52"/>
      <c r="K52"/>
    </row>
    <row r="53" s="83" customFormat="1" ht="22.05" customHeight="1" spans="1:11">
      <c r="A53"/>
      <c r="B53"/>
      <c r="C53"/>
      <c r="D53"/>
      <c r="E53"/>
      <c r="F53"/>
      <c r="G53"/>
      <c r="H53"/>
      <c r="I53"/>
      <c r="J53"/>
      <c r="K53"/>
    </row>
    <row r="54" s="83" customFormat="1" ht="22.05" customHeight="1" spans="1:11">
      <c r="A54"/>
      <c r="B54"/>
      <c r="C54"/>
      <c r="D54"/>
      <c r="E54"/>
      <c r="F54"/>
      <c r="G54"/>
      <c r="H54"/>
      <c r="I54"/>
      <c r="J54"/>
      <c r="K54"/>
    </row>
    <row r="55" s="83" customFormat="1" ht="22.05" customHeight="1" spans="1:11">
      <c r="A55"/>
      <c r="B55"/>
      <c r="C55"/>
      <c r="D55"/>
      <c r="E55"/>
      <c r="F55"/>
      <c r="G55"/>
      <c r="H55"/>
      <c r="I55"/>
      <c r="J55"/>
      <c r="K55"/>
    </row>
    <row r="56" s="83" customFormat="1" ht="22.05" customHeight="1" spans="1:11">
      <c r="A56"/>
      <c r="B56"/>
      <c r="C56"/>
      <c r="D56"/>
      <c r="E56"/>
      <c r="F56"/>
      <c r="G56"/>
      <c r="H56"/>
      <c r="I56"/>
      <c r="J56"/>
      <c r="K56"/>
    </row>
    <row r="57" s="83" customFormat="1" ht="22.05" customHeight="1" spans="1:11">
      <c r="A57"/>
      <c r="B57"/>
      <c r="C57"/>
      <c r="D57"/>
      <c r="E57"/>
      <c r="F57"/>
      <c r="G57"/>
      <c r="H57"/>
      <c r="I57"/>
      <c r="J57"/>
      <c r="K57"/>
    </row>
    <row r="58" s="83" customFormat="1" ht="22.05" customHeight="1" spans="1:13">
      <c r="A58"/>
      <c r="B58"/>
      <c r="C58"/>
      <c r="D58"/>
      <c r="E58"/>
      <c r="F58"/>
      <c r="G58"/>
      <c r="H58"/>
      <c r="I58"/>
      <c r="J58"/>
      <c r="K58"/>
      <c r="M58" s="83" t="e">
        <f>ROUND(K58/E57,2)</f>
        <v>#DIV/0!</v>
      </c>
    </row>
    <row r="59" ht="122.4" customHeight="1"/>
  </sheetData>
  <mergeCells count="18">
    <mergeCell ref="A1:B1"/>
    <mergeCell ref="C1:I1"/>
    <mergeCell ref="J1:K1"/>
    <mergeCell ref="A3:B3"/>
    <mergeCell ref="C3:I3"/>
    <mergeCell ref="J3:K3"/>
    <mergeCell ref="A4:B4"/>
    <mergeCell ref="C4:I4"/>
    <mergeCell ref="J4:K4"/>
    <mergeCell ref="A5:B5"/>
    <mergeCell ref="C5:I5"/>
    <mergeCell ref="J5:K5"/>
    <mergeCell ref="F6:K6"/>
    <mergeCell ref="A6:A7"/>
    <mergeCell ref="B6:B7"/>
    <mergeCell ref="C6:C7"/>
    <mergeCell ref="D6:D7"/>
    <mergeCell ref="E6:E7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1"/>
  <sheetViews>
    <sheetView view="pageBreakPreview" zoomScaleNormal="100" workbookViewId="0">
      <selection activeCell="C4" sqref="C4:I4"/>
    </sheetView>
  </sheetViews>
  <sheetFormatPr defaultColWidth="9" defaultRowHeight="14.4"/>
  <cols>
    <col min="1" max="1" width="6.44444444444444" customWidth="1"/>
    <col min="2" max="2" width="13.3333333333333" customWidth="1"/>
    <col min="3" max="3" width="18.1111111111111" customWidth="1"/>
    <col min="4" max="11" width="10.4444444444444" customWidth="1"/>
    <col min="12" max="12" width="12.6666666666667" customWidth="1"/>
    <col min="13" max="13" width="11.4444444444444" customWidth="1"/>
  </cols>
  <sheetData>
    <row r="1" ht="25.8" customHeight="1" spans="1:11">
      <c r="A1" s="36" t="s">
        <v>0</v>
      </c>
      <c r="B1" s="36" t="s">
        <v>0</v>
      </c>
      <c r="C1" s="37" t="s">
        <v>307</v>
      </c>
      <c r="D1" s="37" t="s">
        <v>0</v>
      </c>
      <c r="E1" s="37" t="s">
        <v>0</v>
      </c>
      <c r="F1" s="37" t="s">
        <v>0</v>
      </c>
      <c r="G1" s="37" t="s">
        <v>0</v>
      </c>
      <c r="H1" s="37" t="s">
        <v>0</v>
      </c>
      <c r="I1" s="37" t="s">
        <v>0</v>
      </c>
      <c r="J1" s="43" t="s">
        <v>31</v>
      </c>
      <c r="K1" s="43" t="s">
        <v>0</v>
      </c>
    </row>
    <row r="2" spans="1:11">
      <c r="A2" s="38" t="s">
        <v>130</v>
      </c>
      <c r="B2" s="38" t="s">
        <v>0</v>
      </c>
      <c r="C2" s="38" t="s">
        <v>0</v>
      </c>
      <c r="D2" s="38" t="s">
        <v>0</v>
      </c>
      <c r="E2" s="38" t="s">
        <v>0</v>
      </c>
      <c r="F2" s="38" t="s">
        <v>0</v>
      </c>
      <c r="G2" s="38" t="s">
        <v>0</v>
      </c>
      <c r="H2" s="38" t="s">
        <v>0</v>
      </c>
      <c r="I2" s="38" t="s">
        <v>0</v>
      </c>
      <c r="J2" s="38" t="s">
        <v>0</v>
      </c>
      <c r="K2" s="38" t="s">
        <v>0</v>
      </c>
    </row>
    <row r="3" spans="1:11">
      <c r="A3" s="20" t="s">
        <v>24</v>
      </c>
      <c r="B3" s="20" t="s">
        <v>0</v>
      </c>
      <c r="C3" s="13" t="s">
        <v>308</v>
      </c>
      <c r="D3" s="13" t="s">
        <v>0</v>
      </c>
      <c r="E3" s="13" t="s">
        <v>0</v>
      </c>
      <c r="F3" s="13" t="s">
        <v>0</v>
      </c>
      <c r="G3" s="13" t="s">
        <v>0</v>
      </c>
      <c r="H3" s="13" t="s">
        <v>0</v>
      </c>
      <c r="I3" s="13" t="s">
        <v>0</v>
      </c>
      <c r="J3" s="13" t="s">
        <v>132</v>
      </c>
      <c r="K3" s="13" t="s">
        <v>0</v>
      </c>
    </row>
    <row r="4" spans="1:11">
      <c r="A4" s="20" t="s">
        <v>133</v>
      </c>
      <c r="B4" s="20" t="s">
        <v>0</v>
      </c>
      <c r="C4" s="13" t="s">
        <v>317</v>
      </c>
      <c r="D4" s="13" t="s">
        <v>0</v>
      </c>
      <c r="E4" s="13" t="s">
        <v>0</v>
      </c>
      <c r="F4" s="13" t="s">
        <v>0</v>
      </c>
      <c r="G4" s="13" t="s">
        <v>0</v>
      </c>
      <c r="H4" s="13" t="s">
        <v>0</v>
      </c>
      <c r="I4" s="13" t="s">
        <v>0</v>
      </c>
      <c r="J4" s="13" t="str">
        <f>'D3-3 分部分项工程量清单综合单价计算表(分页不带材料)~2'!J4:K4</f>
        <v>工程数量：4374.5</v>
      </c>
      <c r="K4" s="13" t="s">
        <v>0</v>
      </c>
    </row>
    <row r="5" spans="1:11">
      <c r="A5" s="20" t="s">
        <v>136</v>
      </c>
      <c r="B5" s="20" t="s">
        <v>0</v>
      </c>
      <c r="C5" s="13" t="s">
        <v>318</v>
      </c>
      <c r="D5" s="13" t="s">
        <v>0</v>
      </c>
      <c r="E5" s="13" t="s">
        <v>0</v>
      </c>
      <c r="F5" s="13" t="s">
        <v>0</v>
      </c>
      <c r="G5" s="13" t="s">
        <v>0</v>
      </c>
      <c r="H5" s="13" t="s">
        <v>0</v>
      </c>
      <c r="I5" s="13" t="s">
        <v>0</v>
      </c>
      <c r="J5" s="13" t="s">
        <v>319</v>
      </c>
      <c r="K5" s="13" t="s">
        <v>0</v>
      </c>
    </row>
    <row r="6" spans="1:11">
      <c r="A6" s="39" t="s">
        <v>32</v>
      </c>
      <c r="B6" s="39" t="s">
        <v>138</v>
      </c>
      <c r="C6" s="39" t="s">
        <v>139</v>
      </c>
      <c r="D6" s="39" t="s">
        <v>110</v>
      </c>
      <c r="E6" s="39" t="s">
        <v>140</v>
      </c>
      <c r="F6" s="39" t="s">
        <v>141</v>
      </c>
      <c r="G6" s="39" t="s">
        <v>0</v>
      </c>
      <c r="H6" s="39" t="s">
        <v>0</v>
      </c>
      <c r="I6" s="39" t="s">
        <v>0</v>
      </c>
      <c r="J6" s="39" t="s">
        <v>0</v>
      </c>
      <c r="K6" s="39" t="s">
        <v>0</v>
      </c>
    </row>
    <row r="7" spans="1:11">
      <c r="A7" s="39" t="s">
        <v>0</v>
      </c>
      <c r="B7" s="39" t="s">
        <v>0</v>
      </c>
      <c r="C7" s="39" t="s">
        <v>0</v>
      </c>
      <c r="D7" s="39" t="s">
        <v>0</v>
      </c>
      <c r="E7" s="39" t="s">
        <v>0</v>
      </c>
      <c r="F7" s="45" t="s">
        <v>115</v>
      </c>
      <c r="G7" s="39" t="s">
        <v>116</v>
      </c>
      <c r="H7" s="39" t="s">
        <v>117</v>
      </c>
      <c r="I7" s="39" t="s">
        <v>118</v>
      </c>
      <c r="J7" s="39" t="s">
        <v>119</v>
      </c>
      <c r="K7" s="39" t="s">
        <v>142</v>
      </c>
    </row>
    <row r="8" spans="1:11">
      <c r="A8" s="39">
        <v>1</v>
      </c>
      <c r="B8" s="77" t="s">
        <v>312</v>
      </c>
      <c r="C8" s="39" t="s">
        <v>313</v>
      </c>
      <c r="D8" s="39" t="s">
        <v>121</v>
      </c>
      <c r="E8" s="39"/>
      <c r="F8" s="39">
        <f>SUM(F9:F18)</f>
        <v>0</v>
      </c>
      <c r="G8" s="39" t="s">
        <v>0</v>
      </c>
      <c r="H8" s="39" t="s">
        <v>0</v>
      </c>
      <c r="I8" s="39">
        <f>SUM(I9:I18)</f>
        <v>0</v>
      </c>
      <c r="J8" s="39">
        <f>SUM(J9:J18)</f>
        <v>0</v>
      </c>
      <c r="K8" s="39">
        <f>SUM(F8:J8)</f>
        <v>0</v>
      </c>
    </row>
    <row r="9" spans="1:12">
      <c r="A9" s="39">
        <v>2</v>
      </c>
      <c r="B9" s="77"/>
      <c r="C9" s="39" t="s">
        <v>320</v>
      </c>
      <c r="D9" s="39" t="s">
        <v>170</v>
      </c>
      <c r="E9" s="40"/>
      <c r="F9" s="42">
        <f>E9*$L$9*0.95</f>
        <v>0</v>
      </c>
      <c r="G9" s="39"/>
      <c r="H9" s="39"/>
      <c r="I9" s="62">
        <f t="shared" ref="I9" si="0">ROUND(F9*0.02,2)</f>
        <v>0</v>
      </c>
      <c r="J9" s="62">
        <f t="shared" ref="J9" si="1">ROUND(F9*0.05,2)</f>
        <v>0</v>
      </c>
      <c r="K9" s="39">
        <f t="shared" ref="K9:K20" si="2">SUM(F9:J9)</f>
        <v>0</v>
      </c>
      <c r="L9">
        <v>232</v>
      </c>
    </row>
    <row r="10" spans="1:12">
      <c r="A10" s="39">
        <v>3</v>
      </c>
      <c r="B10" s="77"/>
      <c r="C10" s="39" t="s">
        <v>169</v>
      </c>
      <c r="D10" s="39" t="s">
        <v>170</v>
      </c>
      <c r="E10" s="40"/>
      <c r="F10" s="42">
        <f>E10*$L$9*0.95</f>
        <v>0</v>
      </c>
      <c r="G10" s="39"/>
      <c r="H10" s="39"/>
      <c r="I10" s="62">
        <f t="shared" ref="I10:I15" si="3">ROUND(F10*0.02,2)</f>
        <v>0</v>
      </c>
      <c r="J10" s="62">
        <f t="shared" ref="J10:J15" si="4">ROUND(F10*0.05,2)</f>
        <v>0</v>
      </c>
      <c r="K10" s="39">
        <f t="shared" si="2"/>
        <v>0</v>
      </c>
      <c r="L10">
        <v>128</v>
      </c>
    </row>
    <row r="11" spans="1:11">
      <c r="A11" s="39">
        <v>4</v>
      </c>
      <c r="B11" s="77"/>
      <c r="C11" s="39" t="s">
        <v>321</v>
      </c>
      <c r="D11" s="39" t="s">
        <v>170</v>
      </c>
      <c r="E11" s="40"/>
      <c r="F11" s="42">
        <f>E11*$L$9*0.95</f>
        <v>0</v>
      </c>
      <c r="G11" s="39"/>
      <c r="H11" s="39"/>
      <c r="I11" s="62">
        <f t="shared" si="3"/>
        <v>0</v>
      </c>
      <c r="J11" s="62">
        <f t="shared" si="4"/>
        <v>0</v>
      </c>
      <c r="K11" s="39">
        <f t="shared" si="2"/>
        <v>0</v>
      </c>
    </row>
    <row r="12" spans="1:11">
      <c r="A12" s="39">
        <v>5</v>
      </c>
      <c r="B12" s="77"/>
      <c r="C12" s="39" t="s">
        <v>322</v>
      </c>
      <c r="D12" s="39" t="s">
        <v>170</v>
      </c>
      <c r="E12" s="40"/>
      <c r="F12" s="78">
        <f t="shared" ref="F12:F18" si="5">E12*$L$10*0.95</f>
        <v>0</v>
      </c>
      <c r="G12" s="39"/>
      <c r="H12" s="39"/>
      <c r="I12" s="62">
        <f t="shared" si="3"/>
        <v>0</v>
      </c>
      <c r="J12" s="62">
        <f t="shared" si="4"/>
        <v>0</v>
      </c>
      <c r="K12" s="39">
        <f t="shared" si="2"/>
        <v>0</v>
      </c>
    </row>
    <row r="13" spans="1:11">
      <c r="A13" s="39">
        <v>6</v>
      </c>
      <c r="B13" s="77"/>
      <c r="C13" s="39" t="s">
        <v>323</v>
      </c>
      <c r="D13" s="39" t="s">
        <v>170</v>
      </c>
      <c r="E13" s="40"/>
      <c r="F13" s="78">
        <f t="shared" si="5"/>
        <v>0</v>
      </c>
      <c r="G13" s="39"/>
      <c r="H13" s="39"/>
      <c r="I13" s="62">
        <f t="shared" si="3"/>
        <v>0</v>
      </c>
      <c r="J13" s="62">
        <f t="shared" si="4"/>
        <v>0</v>
      </c>
      <c r="K13" s="39">
        <f t="shared" si="2"/>
        <v>0</v>
      </c>
    </row>
    <row r="14" spans="1:11">
      <c r="A14" s="39">
        <v>7</v>
      </c>
      <c r="B14" s="77"/>
      <c r="C14" s="39" t="s">
        <v>324</v>
      </c>
      <c r="D14" s="39" t="s">
        <v>170</v>
      </c>
      <c r="E14" s="40"/>
      <c r="F14" s="78">
        <f t="shared" si="5"/>
        <v>0</v>
      </c>
      <c r="G14" s="39"/>
      <c r="H14" s="39"/>
      <c r="I14" s="62">
        <f t="shared" si="3"/>
        <v>0</v>
      </c>
      <c r="J14" s="62">
        <f t="shared" si="4"/>
        <v>0</v>
      </c>
      <c r="K14" s="39">
        <f t="shared" si="2"/>
        <v>0</v>
      </c>
    </row>
    <row r="15" spans="1:11">
      <c r="A15" s="39">
        <v>8</v>
      </c>
      <c r="B15" s="77"/>
      <c r="C15" s="39" t="s">
        <v>325</v>
      </c>
      <c r="D15" s="39" t="s">
        <v>170</v>
      </c>
      <c r="E15" s="40"/>
      <c r="F15" s="78">
        <f t="shared" si="5"/>
        <v>0</v>
      </c>
      <c r="G15" s="39"/>
      <c r="H15" s="39"/>
      <c r="I15" s="62">
        <f t="shared" si="3"/>
        <v>0</v>
      </c>
      <c r="J15" s="62">
        <f t="shared" si="4"/>
        <v>0</v>
      </c>
      <c r="K15" s="39">
        <f t="shared" si="2"/>
        <v>0</v>
      </c>
    </row>
    <row r="16" spans="1:11">
      <c r="A16" s="39">
        <v>9</v>
      </c>
      <c r="B16" s="79"/>
      <c r="C16" s="80" t="s">
        <v>326</v>
      </c>
      <c r="D16" s="39" t="s">
        <v>170</v>
      </c>
      <c r="E16" s="40"/>
      <c r="F16" s="78">
        <f t="shared" si="5"/>
        <v>0</v>
      </c>
      <c r="G16" s="39"/>
      <c r="H16" s="39"/>
      <c r="I16" s="62">
        <f t="shared" ref="I16" si="6">ROUND(F16*0.02,2)</f>
        <v>0</v>
      </c>
      <c r="J16" s="62">
        <f t="shared" ref="J16" si="7">ROUND(F16*0.05,2)</f>
        <v>0</v>
      </c>
      <c r="K16" s="39">
        <f t="shared" si="2"/>
        <v>0</v>
      </c>
    </row>
    <row r="17" spans="1:11">
      <c r="A17" s="39">
        <v>10</v>
      </c>
      <c r="B17" s="79"/>
      <c r="C17" s="80" t="s">
        <v>171</v>
      </c>
      <c r="D17" s="39" t="s">
        <v>170</v>
      </c>
      <c r="E17" s="40"/>
      <c r="F17" s="78">
        <f t="shared" si="5"/>
        <v>0</v>
      </c>
      <c r="G17" s="39"/>
      <c r="H17" s="39"/>
      <c r="I17" s="62">
        <f t="shared" ref="I17" si="8">ROUND(F17*0.02,2)</f>
        <v>0</v>
      </c>
      <c r="J17" s="62">
        <f t="shared" ref="J17" si="9">ROUND(F17*0.05,2)</f>
        <v>0</v>
      </c>
      <c r="K17" s="39">
        <f t="shared" si="2"/>
        <v>0</v>
      </c>
    </row>
    <row r="18" spans="1:11">
      <c r="A18" s="39">
        <v>11</v>
      </c>
      <c r="B18" s="77"/>
      <c r="C18" s="39" t="s">
        <v>172</v>
      </c>
      <c r="D18" s="39" t="s">
        <v>170</v>
      </c>
      <c r="E18" s="40"/>
      <c r="F18" s="78">
        <f t="shared" si="5"/>
        <v>0</v>
      </c>
      <c r="G18" s="39" t="s">
        <v>0</v>
      </c>
      <c r="H18" s="39" t="s">
        <v>0</v>
      </c>
      <c r="I18" s="62">
        <f t="shared" ref="I18:I20" si="10">ROUND(F18*0.02,2)</f>
        <v>0</v>
      </c>
      <c r="J18" s="62">
        <f t="shared" ref="J18:J20" si="11">ROUND(F18*0.05,2)</f>
        <v>0</v>
      </c>
      <c r="K18" s="39">
        <f t="shared" si="2"/>
        <v>0</v>
      </c>
    </row>
    <row r="19" spans="1:11">
      <c r="A19" s="39">
        <v>12</v>
      </c>
      <c r="B19" s="39" t="s">
        <v>314</v>
      </c>
      <c r="C19" s="39" t="s">
        <v>315</v>
      </c>
      <c r="D19" s="39" t="s">
        <v>121</v>
      </c>
      <c r="E19" s="39"/>
      <c r="F19" s="39">
        <f>SUM(F20:F21)</f>
        <v>0</v>
      </c>
      <c r="G19" s="39"/>
      <c r="H19" s="39"/>
      <c r="I19" s="62">
        <f t="shared" si="10"/>
        <v>0</v>
      </c>
      <c r="J19" s="62">
        <f t="shared" si="11"/>
        <v>0</v>
      </c>
      <c r="K19" s="39">
        <f t="shared" si="2"/>
        <v>0</v>
      </c>
    </row>
    <row r="20" spans="1:11">
      <c r="A20" s="39">
        <v>13</v>
      </c>
      <c r="B20" s="39"/>
      <c r="C20" s="39" t="s">
        <v>183</v>
      </c>
      <c r="D20" s="39" t="s">
        <v>170</v>
      </c>
      <c r="E20" s="40"/>
      <c r="F20" s="78">
        <f>E20*$L$10*0.95</f>
        <v>0</v>
      </c>
      <c r="G20" s="39"/>
      <c r="H20" s="39"/>
      <c r="I20" s="62">
        <f t="shared" si="10"/>
        <v>0</v>
      </c>
      <c r="J20" s="62">
        <f t="shared" si="11"/>
        <v>0</v>
      </c>
      <c r="K20" s="39">
        <f t="shared" si="2"/>
        <v>0</v>
      </c>
    </row>
    <row r="21" spans="1:11">
      <c r="A21" s="39">
        <v>14</v>
      </c>
      <c r="B21" s="39"/>
      <c r="C21" s="39" t="s">
        <v>184</v>
      </c>
      <c r="D21" s="39" t="s">
        <v>185</v>
      </c>
      <c r="E21" s="39"/>
      <c r="F21" s="39"/>
      <c r="G21" s="39"/>
      <c r="H21" s="39"/>
      <c r="I21" s="62"/>
      <c r="J21" s="62"/>
      <c r="K21" s="39"/>
    </row>
    <row r="22" spans="1:11">
      <c r="A22" s="39">
        <v>15</v>
      </c>
      <c r="B22" s="39" t="s">
        <v>316</v>
      </c>
      <c r="C22" s="39" t="s">
        <v>159</v>
      </c>
      <c r="D22" s="39" t="s">
        <v>121</v>
      </c>
      <c r="E22" s="39"/>
      <c r="F22" s="81">
        <f>SUM(F23:F24)</f>
        <v>0</v>
      </c>
      <c r="G22" s="39"/>
      <c r="H22" s="39" t="s">
        <v>0</v>
      </c>
      <c r="I22" s="62">
        <f>ROUND(F22*0.02,2)</f>
        <v>0</v>
      </c>
      <c r="J22" s="62">
        <f>ROUND(F22*0.05,2)</f>
        <v>0</v>
      </c>
      <c r="K22" s="81">
        <f>SUM(F22:J22)</f>
        <v>0</v>
      </c>
    </row>
    <row r="23" spans="1:12">
      <c r="A23" s="39">
        <v>16</v>
      </c>
      <c r="B23" s="77"/>
      <c r="C23" s="39" t="s">
        <v>159</v>
      </c>
      <c r="D23" s="39" t="s">
        <v>121</v>
      </c>
      <c r="E23" s="40"/>
      <c r="F23" s="82">
        <f>E23*L23*0.95</f>
        <v>0</v>
      </c>
      <c r="G23" s="39" t="s">
        <v>0</v>
      </c>
      <c r="H23" s="39" t="s">
        <v>0</v>
      </c>
      <c r="I23" s="62">
        <f>ROUND(F23*0.02,2)</f>
        <v>0</v>
      </c>
      <c r="J23" s="62">
        <f>ROUND(F23*0.05,2)</f>
        <v>0</v>
      </c>
      <c r="K23" s="39">
        <f>SUM(F23:J23)</f>
        <v>0</v>
      </c>
      <c r="L23">
        <v>32</v>
      </c>
    </row>
    <row r="24" spans="1:11">
      <c r="A24" s="39">
        <v>17</v>
      </c>
      <c r="B24" s="77"/>
      <c r="C24" s="39" t="s">
        <v>188</v>
      </c>
      <c r="D24" s="39" t="s">
        <v>189</v>
      </c>
      <c r="E24" s="39"/>
      <c r="F24" s="39"/>
      <c r="G24" s="39"/>
      <c r="H24" s="39"/>
      <c r="I24" s="62"/>
      <c r="J24" s="62"/>
      <c r="K24" s="39"/>
    </row>
    <row r="25" spans="1:13">
      <c r="A25" s="39" t="s">
        <v>9</v>
      </c>
      <c r="B25" s="39" t="s">
        <v>9</v>
      </c>
      <c r="C25" s="39" t="s">
        <v>164</v>
      </c>
      <c r="D25" s="39"/>
      <c r="E25" s="39"/>
      <c r="F25" s="81">
        <f t="shared" ref="F25:J25" si="12">SUM(F8,F19,F22)</f>
        <v>0</v>
      </c>
      <c r="G25" s="39"/>
      <c r="H25" s="39" t="s">
        <v>0</v>
      </c>
      <c r="I25" s="81">
        <f t="shared" si="12"/>
        <v>0</v>
      </c>
      <c r="J25" s="81">
        <f t="shared" si="12"/>
        <v>0</v>
      </c>
      <c r="K25" s="81">
        <f>SUM(F25:J25)</f>
        <v>0</v>
      </c>
      <c r="M25" t="e">
        <f>ROUND(K25/E23,2)</f>
        <v>#DIV/0!</v>
      </c>
    </row>
    <row r="27" spans="7:11">
      <c r="G27" s="20" t="s">
        <v>29</v>
      </c>
      <c r="H27" s="20" t="s">
        <v>0</v>
      </c>
      <c r="I27" s="20" t="s">
        <v>0</v>
      </c>
      <c r="J27" s="20" t="s">
        <v>0</v>
      </c>
      <c r="K27" s="20" t="s">
        <v>0</v>
      </c>
    </row>
    <row r="28" ht="29.4" customHeight="1"/>
    <row r="49" spans="13:13">
      <c r="M49" t="e">
        <f>ROUND(K49/E43,2)</f>
        <v>#DIV/0!</v>
      </c>
    </row>
    <row r="50" ht="129.6" customHeight="1"/>
    <row r="51" spans="7:11">
      <c r="G51" s="20" t="s">
        <v>29</v>
      </c>
      <c r="H51" s="20" t="s">
        <v>0</v>
      </c>
      <c r="I51" s="20" t="s">
        <v>0</v>
      </c>
      <c r="J51" s="20" t="s">
        <v>0</v>
      </c>
      <c r="K51" s="20" t="s">
        <v>0</v>
      </c>
    </row>
  </sheetData>
  <mergeCells count="21">
    <mergeCell ref="A1:B1"/>
    <mergeCell ref="C1:I1"/>
    <mergeCell ref="J1:K1"/>
    <mergeCell ref="A2:K2"/>
    <mergeCell ref="A3:B3"/>
    <mergeCell ref="C3:I3"/>
    <mergeCell ref="J3:K3"/>
    <mergeCell ref="A4:B4"/>
    <mergeCell ref="C4:I4"/>
    <mergeCell ref="J4:K4"/>
    <mergeCell ref="A5:B5"/>
    <mergeCell ref="C5:I5"/>
    <mergeCell ref="J5:K5"/>
    <mergeCell ref="F6:K6"/>
    <mergeCell ref="G27:K27"/>
    <mergeCell ref="G51:K51"/>
    <mergeCell ref="A6:A7"/>
    <mergeCell ref="B6:B7"/>
    <mergeCell ref="C6:C7"/>
    <mergeCell ref="D6:D7"/>
    <mergeCell ref="E6:E7"/>
  </mergeCells>
  <pageMargins left="0.708661417322835" right="0.708661417322835" top="0.748031496062992" bottom="0.748031496062992" header="0.31496062992126" footer="0.31496062992126"/>
  <pageSetup paperSize="9" scale="110" orientation="landscape"/>
  <headerFooter/>
  <rowBreaks count="1" manualBreakCount="1">
    <brk id="27" max="10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Q59"/>
  <sheetViews>
    <sheetView view="pageBreakPreview" zoomScaleNormal="100" workbookViewId="0">
      <selection activeCell="C3" sqref="C3:J3"/>
    </sheetView>
  </sheetViews>
  <sheetFormatPr defaultColWidth="9" defaultRowHeight="14.4"/>
  <cols>
    <col min="6" max="6" width="27.7777777777778" customWidth="1"/>
    <col min="7" max="7" width="12.7777777777778" customWidth="1"/>
    <col min="9" max="9" width="9.55555555555556" customWidth="1"/>
    <col min="14" max="14" width="11.7777777777778"/>
    <col min="15" max="15" width="10.6666666666667"/>
    <col min="16" max="17" width="11.7777777777778"/>
  </cols>
  <sheetData>
    <row r="1" ht="26.4" customHeight="1" spans="1:13">
      <c r="A1" s="1" t="s">
        <v>197</v>
      </c>
      <c r="B1" s="1"/>
      <c r="C1" s="1"/>
      <c r="D1" s="1"/>
      <c r="E1" s="1"/>
      <c r="F1" s="1"/>
      <c r="G1" s="1"/>
      <c r="H1" s="1"/>
      <c r="I1" s="1"/>
      <c r="J1" s="1"/>
      <c r="K1" s="1"/>
      <c r="L1" s="9" t="s">
        <v>198</v>
      </c>
      <c r="M1" s="9"/>
    </row>
    <row r="2" spans="1:13">
      <c r="A2" s="20" t="s">
        <v>24</v>
      </c>
      <c r="B2" s="20" t="s">
        <v>0</v>
      </c>
      <c r="C2" s="13" t="s">
        <v>327</v>
      </c>
      <c r="D2" s="13" t="s">
        <v>0</v>
      </c>
      <c r="E2" s="13" t="s">
        <v>0</v>
      </c>
      <c r="F2" s="13" t="s">
        <v>0</v>
      </c>
      <c r="G2" s="13"/>
      <c r="H2" s="13" t="s">
        <v>0</v>
      </c>
      <c r="I2" s="13" t="s">
        <v>0</v>
      </c>
      <c r="J2" s="13" t="s">
        <v>0</v>
      </c>
      <c r="K2" s="13" t="s">
        <v>132</v>
      </c>
      <c r="L2" s="13" t="s">
        <v>0</v>
      </c>
      <c r="M2" s="27"/>
    </row>
    <row r="3" customHeight="1" spans="1:13">
      <c r="A3" s="20" t="s">
        <v>133</v>
      </c>
      <c r="B3" s="20" t="s">
        <v>0</v>
      </c>
      <c r="C3" s="13" t="s">
        <v>309</v>
      </c>
      <c r="D3" s="13" t="s">
        <v>0</v>
      </c>
      <c r="E3" s="13" t="s">
        <v>0</v>
      </c>
      <c r="F3" s="13" t="s">
        <v>0</v>
      </c>
      <c r="G3" s="13"/>
      <c r="H3" s="13" t="s">
        <v>0</v>
      </c>
      <c r="I3" s="13" t="s">
        <v>0</v>
      </c>
      <c r="J3" s="13" t="s">
        <v>0</v>
      </c>
      <c r="K3" s="13" t="s">
        <v>310</v>
      </c>
      <c r="L3" s="13" t="s">
        <v>0</v>
      </c>
      <c r="M3" s="11"/>
    </row>
    <row r="4" spans="1:13">
      <c r="A4" s="20" t="s">
        <v>136</v>
      </c>
      <c r="B4" s="20" t="s">
        <v>0</v>
      </c>
      <c r="C4" s="13" t="s">
        <v>311</v>
      </c>
      <c r="D4" s="13" t="s">
        <v>0</v>
      </c>
      <c r="E4" s="13" t="s">
        <v>0</v>
      </c>
      <c r="F4" s="13" t="s">
        <v>0</v>
      </c>
      <c r="G4" s="13"/>
      <c r="H4" s="13" t="s">
        <v>0</v>
      </c>
      <c r="I4" s="13" t="s">
        <v>0</v>
      </c>
      <c r="J4" s="13" t="s">
        <v>0</v>
      </c>
      <c r="K4" s="28"/>
      <c r="L4" s="28"/>
      <c r="M4" s="11"/>
    </row>
    <row r="5" ht="34.8" customHeight="1" spans="1:13">
      <c r="A5" s="3" t="s">
        <v>48</v>
      </c>
      <c r="B5" s="3" t="s">
        <v>108</v>
      </c>
      <c r="C5" s="3" t="s">
        <v>0</v>
      </c>
      <c r="D5" s="3" t="s">
        <v>109</v>
      </c>
      <c r="E5" s="3" t="s">
        <v>0</v>
      </c>
      <c r="F5" s="3" t="s">
        <v>201</v>
      </c>
      <c r="G5" s="3" t="s">
        <v>202</v>
      </c>
      <c r="H5" s="3" t="s">
        <v>203</v>
      </c>
      <c r="I5" s="3" t="s">
        <v>204</v>
      </c>
      <c r="J5" s="3" t="s">
        <v>205</v>
      </c>
      <c r="K5" s="3" t="s">
        <v>0</v>
      </c>
      <c r="L5" s="3" t="s">
        <v>206</v>
      </c>
      <c r="M5" s="3" t="s">
        <v>207</v>
      </c>
    </row>
    <row r="6" ht="20" customHeight="1" spans="1:13">
      <c r="A6" s="3" t="s">
        <v>53</v>
      </c>
      <c r="B6" s="3" t="s">
        <v>328</v>
      </c>
      <c r="C6" s="3" t="s">
        <v>0</v>
      </c>
      <c r="D6" s="8" t="s">
        <v>209</v>
      </c>
      <c r="E6" s="8" t="s">
        <v>0</v>
      </c>
      <c r="F6" s="3"/>
      <c r="G6" s="3"/>
      <c r="H6" s="3"/>
      <c r="I6" s="3">
        <f>SUM(I7:I10)</f>
        <v>0</v>
      </c>
      <c r="J6" s="18" t="s">
        <v>0</v>
      </c>
      <c r="K6" s="18" t="s">
        <v>0</v>
      </c>
      <c r="L6" s="18" t="s">
        <v>0</v>
      </c>
      <c r="M6" s="18"/>
    </row>
    <row r="7" ht="30" customHeight="1" spans="1:17">
      <c r="A7" s="3" t="s">
        <v>210</v>
      </c>
      <c r="B7" s="3" t="s">
        <v>211</v>
      </c>
      <c r="C7" s="3" t="s">
        <v>0</v>
      </c>
      <c r="D7" s="8" t="s">
        <v>212</v>
      </c>
      <c r="E7" s="8" t="s">
        <v>0</v>
      </c>
      <c r="F7" s="3" t="s">
        <v>213</v>
      </c>
      <c r="G7" s="15">
        <f>Q7</f>
        <v>0</v>
      </c>
      <c r="H7" s="3"/>
      <c r="I7" s="16">
        <f t="shared" ref="I7:I13" si="0">ROUND(G7*H7/100,2)*0.95</f>
        <v>0</v>
      </c>
      <c r="J7" s="18" t="s">
        <v>0</v>
      </c>
      <c r="K7" s="18" t="s">
        <v>0</v>
      </c>
      <c r="L7" s="18" t="s">
        <v>0</v>
      </c>
      <c r="M7" s="18"/>
      <c r="N7">
        <f>'D3-4 分部分项工程量清单综合单价计算表(分页带材料)【中~'!K25</f>
        <v>0</v>
      </c>
      <c r="O7">
        <f>'G.1规费、税金项目清单计价表-FY型'!F6</f>
        <v>0</v>
      </c>
      <c r="P7">
        <f>'F1.1暂列金额明细表（FY型）'!D7</f>
        <v>0</v>
      </c>
      <c r="Q7">
        <f>N7+O7+P7</f>
        <v>0</v>
      </c>
    </row>
    <row r="8" ht="30" customHeight="1" spans="1:13">
      <c r="A8" s="3" t="s">
        <v>214</v>
      </c>
      <c r="B8" s="3" t="s">
        <v>215</v>
      </c>
      <c r="C8" s="3" t="s">
        <v>0</v>
      </c>
      <c r="D8" s="8" t="s">
        <v>216</v>
      </c>
      <c r="E8" s="8" t="s">
        <v>0</v>
      </c>
      <c r="F8" s="3" t="s">
        <v>213</v>
      </c>
      <c r="G8" s="15">
        <f>$G$7</f>
        <v>0</v>
      </c>
      <c r="H8" s="3"/>
      <c r="I8" s="16">
        <f t="shared" si="0"/>
        <v>0</v>
      </c>
      <c r="J8" s="18" t="s">
        <v>0</v>
      </c>
      <c r="K8" s="18" t="s">
        <v>0</v>
      </c>
      <c r="L8" s="18" t="s">
        <v>0</v>
      </c>
      <c r="M8" s="18"/>
    </row>
    <row r="9" ht="30" customHeight="1" spans="1:13">
      <c r="A9" s="3" t="s">
        <v>217</v>
      </c>
      <c r="B9" s="3" t="s">
        <v>218</v>
      </c>
      <c r="C9" s="3" t="s">
        <v>0</v>
      </c>
      <c r="D9" s="8" t="s">
        <v>219</v>
      </c>
      <c r="E9" s="8" t="s">
        <v>0</v>
      </c>
      <c r="F9" s="3" t="s">
        <v>213</v>
      </c>
      <c r="G9" s="15">
        <f t="shared" ref="G9:G12" si="1">$G$7</f>
        <v>0</v>
      </c>
      <c r="H9" s="16">
        <v>1.4</v>
      </c>
      <c r="I9" s="16">
        <f t="shared" si="0"/>
        <v>0</v>
      </c>
      <c r="J9" s="18" t="s">
        <v>0</v>
      </c>
      <c r="K9" s="18" t="s">
        <v>0</v>
      </c>
      <c r="L9" s="18" t="s">
        <v>0</v>
      </c>
      <c r="M9" s="18"/>
    </row>
    <row r="10" ht="30" customHeight="1" spans="1:13">
      <c r="A10" s="3" t="s">
        <v>220</v>
      </c>
      <c r="B10" s="3" t="s">
        <v>221</v>
      </c>
      <c r="C10" s="3" t="s">
        <v>0</v>
      </c>
      <c r="D10" s="8" t="s">
        <v>222</v>
      </c>
      <c r="E10" s="8" t="s">
        <v>0</v>
      </c>
      <c r="F10" s="3" t="s">
        <v>213</v>
      </c>
      <c r="G10" s="15">
        <f t="shared" si="1"/>
        <v>0</v>
      </c>
      <c r="H10" s="3"/>
      <c r="I10" s="16">
        <f t="shared" si="0"/>
        <v>0</v>
      </c>
      <c r="J10" s="18" t="s">
        <v>0</v>
      </c>
      <c r="K10" s="18" t="s">
        <v>0</v>
      </c>
      <c r="L10" s="18" t="s">
        <v>0</v>
      </c>
      <c r="M10" s="18"/>
    </row>
    <row r="11" ht="30" customHeight="1" spans="1:13">
      <c r="A11" s="3" t="s">
        <v>60</v>
      </c>
      <c r="B11" s="3" t="s">
        <v>329</v>
      </c>
      <c r="C11" s="3" t="s">
        <v>0</v>
      </c>
      <c r="D11" s="8" t="s">
        <v>224</v>
      </c>
      <c r="E11" s="8" t="s">
        <v>0</v>
      </c>
      <c r="F11" s="3" t="s">
        <v>213</v>
      </c>
      <c r="G11" s="15">
        <f t="shared" si="1"/>
        <v>0</v>
      </c>
      <c r="H11" s="3"/>
      <c r="I11" s="16">
        <f t="shared" si="0"/>
        <v>0</v>
      </c>
      <c r="J11" s="18" t="s">
        <v>0</v>
      </c>
      <c r="K11" s="18" t="s">
        <v>0</v>
      </c>
      <c r="L11" s="18" t="s">
        <v>0</v>
      </c>
      <c r="M11" s="18"/>
    </row>
    <row r="12" ht="30" customHeight="1" spans="1:13">
      <c r="A12" s="3" t="s">
        <v>64</v>
      </c>
      <c r="B12" s="3" t="s">
        <v>330</v>
      </c>
      <c r="C12" s="3" t="s">
        <v>0</v>
      </c>
      <c r="D12" s="8" t="s">
        <v>226</v>
      </c>
      <c r="E12" s="8" t="s">
        <v>0</v>
      </c>
      <c r="F12" s="3" t="s">
        <v>213</v>
      </c>
      <c r="G12" s="15">
        <f t="shared" si="1"/>
        <v>0</v>
      </c>
      <c r="H12" s="3"/>
      <c r="I12" s="16">
        <f t="shared" si="0"/>
        <v>0</v>
      </c>
      <c r="J12" s="18" t="s">
        <v>0</v>
      </c>
      <c r="K12" s="18" t="s">
        <v>0</v>
      </c>
      <c r="L12" s="18" t="s">
        <v>0</v>
      </c>
      <c r="M12" s="18"/>
    </row>
    <row r="13" ht="30" customHeight="1" spans="1:13">
      <c r="A13" s="3" t="s">
        <v>74</v>
      </c>
      <c r="B13" s="3" t="s">
        <v>331</v>
      </c>
      <c r="C13" s="3" t="s">
        <v>0</v>
      </c>
      <c r="D13" s="8" t="s">
        <v>228</v>
      </c>
      <c r="E13" s="8" t="s">
        <v>0</v>
      </c>
      <c r="F13" s="3" t="s">
        <v>213</v>
      </c>
      <c r="G13" s="15">
        <f t="shared" ref="G13" si="2">$G$7</f>
        <v>0</v>
      </c>
      <c r="H13" s="3"/>
      <c r="I13" s="16">
        <f t="shared" si="0"/>
        <v>0</v>
      </c>
      <c r="J13" s="18" t="s">
        <v>0</v>
      </c>
      <c r="K13" s="18" t="s">
        <v>0</v>
      </c>
      <c r="L13" s="18" t="s">
        <v>0</v>
      </c>
      <c r="M13" s="18"/>
    </row>
    <row r="14" ht="20" customHeight="1" spans="1:13">
      <c r="A14" s="3" t="s">
        <v>75</v>
      </c>
      <c r="B14" s="3" t="s">
        <v>332</v>
      </c>
      <c r="C14" s="3" t="s">
        <v>0</v>
      </c>
      <c r="D14" s="8" t="s">
        <v>230</v>
      </c>
      <c r="E14" s="8" t="s">
        <v>0</v>
      </c>
      <c r="F14" s="3"/>
      <c r="G14" s="3"/>
      <c r="H14" s="3"/>
      <c r="I14" s="3" t="s">
        <v>0</v>
      </c>
      <c r="J14" s="18" t="s">
        <v>0</v>
      </c>
      <c r="K14" s="18" t="s">
        <v>0</v>
      </c>
      <c r="L14" s="18" t="s">
        <v>0</v>
      </c>
      <c r="M14" s="18"/>
    </row>
    <row r="15" ht="30" customHeight="1" spans="1:13">
      <c r="A15" s="3" t="s">
        <v>77</v>
      </c>
      <c r="B15" s="3" t="s">
        <v>333</v>
      </c>
      <c r="C15" s="3" t="s">
        <v>0</v>
      </c>
      <c r="D15" s="8" t="s">
        <v>232</v>
      </c>
      <c r="E15" s="8" t="s">
        <v>0</v>
      </c>
      <c r="F15" s="3"/>
      <c r="G15" s="3"/>
      <c r="H15" s="3"/>
      <c r="I15" s="3" t="s">
        <v>0</v>
      </c>
      <c r="J15" s="18" t="s">
        <v>0</v>
      </c>
      <c r="K15" s="18" t="s">
        <v>0</v>
      </c>
      <c r="L15" s="18" t="s">
        <v>0</v>
      </c>
      <c r="M15" s="18"/>
    </row>
    <row r="16" ht="20" customHeight="1" spans="1:13">
      <c r="A16" s="3" t="s">
        <v>81</v>
      </c>
      <c r="B16" s="3" t="s">
        <v>334</v>
      </c>
      <c r="C16" s="3" t="s">
        <v>0</v>
      </c>
      <c r="D16" s="8" t="s">
        <v>234</v>
      </c>
      <c r="E16" s="8" t="s">
        <v>0</v>
      </c>
      <c r="F16" s="3"/>
      <c r="G16" s="3"/>
      <c r="H16" s="3"/>
      <c r="I16" s="3" t="s">
        <v>0</v>
      </c>
      <c r="J16" s="18" t="s">
        <v>0</v>
      </c>
      <c r="K16" s="18" t="s">
        <v>0</v>
      </c>
      <c r="L16" s="18" t="s">
        <v>0</v>
      </c>
      <c r="M16" s="18"/>
    </row>
    <row r="17" ht="42" customHeight="1" spans="1:13">
      <c r="A17" s="3" t="s">
        <v>157</v>
      </c>
      <c r="B17" s="3" t="s">
        <v>335</v>
      </c>
      <c r="C17" s="3" t="s">
        <v>0</v>
      </c>
      <c r="D17" s="8" t="s">
        <v>236</v>
      </c>
      <c r="E17" s="8" t="s">
        <v>0</v>
      </c>
      <c r="F17" s="3" t="s">
        <v>213</v>
      </c>
      <c r="G17" s="15">
        <f t="shared" ref="G17" si="3">$G$7</f>
        <v>0</v>
      </c>
      <c r="H17" s="3"/>
      <c r="I17" s="16">
        <f>ROUND(G17*H17/100,2)*0.95</f>
        <v>0</v>
      </c>
      <c r="J17" s="29"/>
      <c r="K17" s="30"/>
      <c r="L17" s="18"/>
      <c r="M17" s="18"/>
    </row>
    <row r="18" spans="1:13">
      <c r="A18" s="25" t="s">
        <v>142</v>
      </c>
      <c r="B18" s="25"/>
      <c r="C18" s="25"/>
      <c r="D18" s="25"/>
      <c r="E18" s="25"/>
      <c r="F18" s="26"/>
      <c r="G18" s="25"/>
      <c r="H18" s="25"/>
      <c r="I18" s="76">
        <f>SUM(I7:I17)</f>
        <v>0</v>
      </c>
      <c r="J18" s="32"/>
      <c r="K18" s="33"/>
      <c r="L18" s="26"/>
      <c r="M18" s="26"/>
    </row>
    <row r="19" ht="45" customHeight="1" spans="1:13">
      <c r="A19" s="13" t="s">
        <v>237</v>
      </c>
      <c r="B19" s="13" t="s">
        <v>0</v>
      </c>
      <c r="C19" s="13" t="s">
        <v>0</v>
      </c>
      <c r="D19" s="13" t="s">
        <v>0</v>
      </c>
      <c r="E19" s="13" t="s">
        <v>0</v>
      </c>
      <c r="F19" s="13" t="s">
        <v>0</v>
      </c>
      <c r="G19" s="13"/>
      <c r="H19" s="13" t="s">
        <v>0</v>
      </c>
      <c r="I19" s="13" t="s">
        <v>0</v>
      </c>
      <c r="J19" s="13" t="s">
        <v>0</v>
      </c>
      <c r="K19" s="13" t="s">
        <v>0</v>
      </c>
      <c r="L19" s="13" t="s">
        <v>0</v>
      </c>
      <c r="M19" s="13" t="s">
        <v>0</v>
      </c>
    </row>
    <row r="23" customHeight="1"/>
    <row r="25" ht="33" customHeight="1"/>
    <row r="27" ht="27.6" customHeight="1"/>
    <row r="28" ht="27.6" customHeight="1"/>
    <row r="29" ht="27.6" customHeight="1"/>
    <row r="30" ht="27.6" customHeight="1"/>
    <row r="33" ht="31.8" customHeight="1"/>
    <row r="35" ht="24.6" customHeight="1"/>
    <row r="37" ht="36.6" customHeight="1"/>
    <row r="39" ht="50.4" customHeight="1"/>
    <row r="43" customHeight="1"/>
    <row r="47" ht="30" customHeight="1"/>
    <row r="48" ht="30" customHeight="1"/>
    <row r="49" ht="30" customHeight="1"/>
    <row r="50" ht="30" customHeight="1"/>
    <row r="53" ht="31.8" customHeight="1"/>
    <row r="55" ht="25.8" customHeight="1"/>
    <row r="57" ht="36.6" customHeight="1"/>
    <row r="59" ht="57.6" customHeight="1"/>
  </sheetData>
  <mergeCells count="52">
    <mergeCell ref="A1:K1"/>
    <mergeCell ref="L1:M1"/>
    <mergeCell ref="A2:B2"/>
    <mergeCell ref="C2:J2"/>
    <mergeCell ref="K2:L2"/>
    <mergeCell ref="A3:B3"/>
    <mergeCell ref="C3:J3"/>
    <mergeCell ref="K3:L3"/>
    <mergeCell ref="A4:B4"/>
    <mergeCell ref="C4:J4"/>
    <mergeCell ref="K4:L4"/>
    <mergeCell ref="B5:C5"/>
    <mergeCell ref="D5:E5"/>
    <mergeCell ref="J5:K5"/>
    <mergeCell ref="B6:C6"/>
    <mergeCell ref="D6:E6"/>
    <mergeCell ref="J6:K6"/>
    <mergeCell ref="B7:C7"/>
    <mergeCell ref="D7:E7"/>
    <mergeCell ref="J7:K7"/>
    <mergeCell ref="B8:C8"/>
    <mergeCell ref="D8:E8"/>
    <mergeCell ref="J8:K8"/>
    <mergeCell ref="B9:C9"/>
    <mergeCell ref="D9:E9"/>
    <mergeCell ref="J9:K9"/>
    <mergeCell ref="B10:C10"/>
    <mergeCell ref="D10:E10"/>
    <mergeCell ref="J10:K10"/>
    <mergeCell ref="B11:C11"/>
    <mergeCell ref="D11:E11"/>
    <mergeCell ref="J11:K11"/>
    <mergeCell ref="B12:C12"/>
    <mergeCell ref="D12:E12"/>
    <mergeCell ref="J12:K12"/>
    <mergeCell ref="B13:C13"/>
    <mergeCell ref="D13:E13"/>
    <mergeCell ref="J13:K13"/>
    <mergeCell ref="B14:C14"/>
    <mergeCell ref="D14:E14"/>
    <mergeCell ref="J14:K14"/>
    <mergeCell ref="B15:C15"/>
    <mergeCell ref="D15:E15"/>
    <mergeCell ref="J15:K15"/>
    <mergeCell ref="B16:C16"/>
    <mergeCell ref="D16:E16"/>
    <mergeCell ref="J16:K16"/>
    <mergeCell ref="B17:C17"/>
    <mergeCell ref="D17:E17"/>
    <mergeCell ref="A18:E18"/>
    <mergeCell ref="J18:K18"/>
    <mergeCell ref="A19:M19"/>
  </mergeCells>
  <pageMargins left="0.7" right="0.7" top="0.75" bottom="0.75" header="0.3" footer="0.3"/>
  <pageSetup paperSize="9" scale="95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F24"/>
  <sheetViews>
    <sheetView view="pageBreakPreview" zoomScaleNormal="100" workbookViewId="0">
      <selection activeCell="B4" sqref="B4"/>
    </sheetView>
  </sheetViews>
  <sheetFormatPr defaultColWidth="9" defaultRowHeight="14.4" outlineLevelCol="5"/>
  <cols>
    <col min="2" max="2" width="37.3333333333333" customWidth="1"/>
    <col min="3" max="3" width="9.55555555555556" customWidth="1"/>
    <col min="4" max="4" width="16.6666666666667" customWidth="1"/>
    <col min="6" max="6" width="17.6666666666667" customWidth="1"/>
  </cols>
  <sheetData>
    <row r="1" ht="30.6" customHeight="1" spans="1:6">
      <c r="A1" s="1" t="s">
        <v>238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</row>
    <row r="2" spans="1:6">
      <c r="A2" s="19"/>
      <c r="B2" s="19"/>
      <c r="C2" s="19"/>
      <c r="D2" s="19"/>
      <c r="E2" s="19"/>
      <c r="F2" s="9" t="s">
        <v>47</v>
      </c>
    </row>
    <row r="3" spans="1:6">
      <c r="A3" s="12" t="s">
        <v>24</v>
      </c>
      <c r="B3" s="13" t="s">
        <v>327</v>
      </c>
      <c r="C3" s="13"/>
      <c r="D3" s="13"/>
      <c r="E3" s="13"/>
      <c r="F3" s="12" t="s">
        <v>310</v>
      </c>
    </row>
    <row r="4" ht="24" spans="1:6">
      <c r="A4" s="3" t="s">
        <v>32</v>
      </c>
      <c r="B4" s="3" t="s">
        <v>239</v>
      </c>
      <c r="C4" s="3" t="s">
        <v>50</v>
      </c>
      <c r="D4" s="3" t="s">
        <v>240</v>
      </c>
      <c r="E4" s="3" t="s">
        <v>207</v>
      </c>
      <c r="F4" s="3" t="s">
        <v>0</v>
      </c>
    </row>
    <row r="5" spans="1:6">
      <c r="A5" s="3" t="s">
        <v>53</v>
      </c>
      <c r="B5" s="8" t="s">
        <v>241</v>
      </c>
      <c r="C5" s="3">
        <f>'F1.1暂列金额明细表（FY型）'!D26+'F1.1暂列金额明细表（FY型）'!D55+'F1.1暂列金额明细表（FY型）'!D84</f>
        <v>0</v>
      </c>
      <c r="D5" s="18" t="s">
        <v>0</v>
      </c>
      <c r="E5" s="3"/>
      <c r="F5" s="3"/>
    </row>
    <row r="6" spans="1:6">
      <c r="A6" s="3" t="s">
        <v>60</v>
      </c>
      <c r="B6" s="8" t="s">
        <v>242</v>
      </c>
      <c r="C6" s="18"/>
      <c r="D6" s="18" t="s">
        <v>0</v>
      </c>
      <c r="E6" s="3"/>
      <c r="F6" s="3"/>
    </row>
    <row r="7" spans="1:6">
      <c r="A7" s="3" t="s">
        <v>62</v>
      </c>
      <c r="B7" s="8" t="s">
        <v>243</v>
      </c>
      <c r="C7" s="3" t="s">
        <v>43</v>
      </c>
      <c r="D7" s="18" t="s">
        <v>0</v>
      </c>
      <c r="E7" s="3"/>
      <c r="F7" s="3"/>
    </row>
    <row r="8" spans="1:6">
      <c r="A8" s="3" t="s">
        <v>244</v>
      </c>
      <c r="B8" s="8" t="s">
        <v>245</v>
      </c>
      <c r="C8" s="18"/>
      <c r="D8" s="18" t="s">
        <v>0</v>
      </c>
      <c r="E8" s="3"/>
      <c r="F8" s="3"/>
    </row>
    <row r="9" spans="1:6">
      <c r="A9" s="3" t="s">
        <v>64</v>
      </c>
      <c r="B9" s="8" t="s">
        <v>246</v>
      </c>
      <c r="C9" s="18"/>
      <c r="D9" s="18" t="s">
        <v>0</v>
      </c>
      <c r="E9" s="3"/>
      <c r="F9" s="3"/>
    </row>
    <row r="10" spans="1:6">
      <c r="A10" s="3" t="s">
        <v>74</v>
      </c>
      <c r="B10" s="8" t="s">
        <v>247</v>
      </c>
      <c r="C10" s="18"/>
      <c r="D10" s="18" t="s">
        <v>0</v>
      </c>
      <c r="E10" s="3"/>
      <c r="F10" s="3"/>
    </row>
    <row r="11" spans="1:6">
      <c r="A11" s="3" t="s">
        <v>0</v>
      </c>
      <c r="B11" s="8" t="s">
        <v>0</v>
      </c>
      <c r="C11" s="18" t="s">
        <v>0</v>
      </c>
      <c r="D11" s="18" t="s">
        <v>0</v>
      </c>
      <c r="E11" s="3" t="s">
        <v>0</v>
      </c>
      <c r="F11" s="3" t="s">
        <v>0</v>
      </c>
    </row>
    <row r="12" spans="1:6">
      <c r="A12" s="3" t="s">
        <v>0</v>
      </c>
      <c r="B12" s="8" t="s">
        <v>0</v>
      </c>
      <c r="C12" s="18" t="s">
        <v>0</v>
      </c>
      <c r="D12" s="18" t="s">
        <v>0</v>
      </c>
      <c r="E12" s="3" t="s">
        <v>0</v>
      </c>
      <c r="F12" s="3" t="s">
        <v>0</v>
      </c>
    </row>
    <row r="13" spans="1:6">
      <c r="A13" s="3" t="s">
        <v>0</v>
      </c>
      <c r="B13" s="8" t="s">
        <v>0</v>
      </c>
      <c r="C13" s="18" t="s">
        <v>0</v>
      </c>
      <c r="D13" s="18" t="s">
        <v>0</v>
      </c>
      <c r="E13" s="3" t="s">
        <v>0</v>
      </c>
      <c r="F13" s="3" t="s">
        <v>0</v>
      </c>
    </row>
    <row r="14" spans="1:6">
      <c r="A14" s="3" t="s">
        <v>0</v>
      </c>
      <c r="B14" s="8" t="s">
        <v>0</v>
      </c>
      <c r="C14" s="18" t="s">
        <v>0</v>
      </c>
      <c r="D14" s="18" t="s">
        <v>0</v>
      </c>
      <c r="E14" s="3" t="s">
        <v>0</v>
      </c>
      <c r="F14" s="3" t="s">
        <v>0</v>
      </c>
    </row>
    <row r="15" spans="1:6">
      <c r="A15" s="3" t="s">
        <v>0</v>
      </c>
      <c r="B15" s="8" t="s">
        <v>0</v>
      </c>
      <c r="C15" s="18" t="s">
        <v>0</v>
      </c>
      <c r="D15" s="18" t="s">
        <v>0</v>
      </c>
      <c r="E15" s="3" t="s">
        <v>0</v>
      </c>
      <c r="F15" s="3" t="s">
        <v>0</v>
      </c>
    </row>
    <row r="16" spans="1:6">
      <c r="A16" s="3" t="s">
        <v>0</v>
      </c>
      <c r="B16" s="8" t="s">
        <v>0</v>
      </c>
      <c r="C16" s="18" t="s">
        <v>0</v>
      </c>
      <c r="D16" s="18" t="s">
        <v>0</v>
      </c>
      <c r="E16" s="3" t="s">
        <v>0</v>
      </c>
      <c r="F16" s="3" t="s">
        <v>0</v>
      </c>
    </row>
    <row r="17" spans="1:6">
      <c r="A17" s="3" t="s">
        <v>0</v>
      </c>
      <c r="B17" s="8" t="s">
        <v>0</v>
      </c>
      <c r="C17" s="18" t="s">
        <v>0</v>
      </c>
      <c r="D17" s="18" t="s">
        <v>0</v>
      </c>
      <c r="E17" s="3" t="s">
        <v>0</v>
      </c>
      <c r="F17" s="3" t="s">
        <v>0</v>
      </c>
    </row>
    <row r="18" spans="1:6">
      <c r="A18" s="3" t="s">
        <v>0</v>
      </c>
      <c r="B18" s="8" t="s">
        <v>0</v>
      </c>
      <c r="C18" s="18" t="s">
        <v>0</v>
      </c>
      <c r="D18" s="18" t="s">
        <v>0</v>
      </c>
      <c r="E18" s="3" t="s">
        <v>0</v>
      </c>
      <c r="F18" s="3" t="s">
        <v>0</v>
      </c>
    </row>
    <row r="19" spans="1:6">
      <c r="A19" s="3" t="s">
        <v>0</v>
      </c>
      <c r="B19" s="8" t="s">
        <v>0</v>
      </c>
      <c r="C19" s="18" t="s">
        <v>0</v>
      </c>
      <c r="D19" s="18" t="s">
        <v>0</v>
      </c>
      <c r="E19" s="3" t="s">
        <v>0</v>
      </c>
      <c r="F19" s="3" t="s">
        <v>0</v>
      </c>
    </row>
    <row r="20" spans="1:6">
      <c r="A20" s="3" t="s">
        <v>0</v>
      </c>
      <c r="B20" s="8" t="s">
        <v>0</v>
      </c>
      <c r="C20" s="18" t="s">
        <v>0</v>
      </c>
      <c r="D20" s="18" t="s">
        <v>0</v>
      </c>
      <c r="E20" s="3" t="s">
        <v>0</v>
      </c>
      <c r="F20" s="3" t="s">
        <v>0</v>
      </c>
    </row>
    <row r="21" spans="1:6">
      <c r="A21" s="3" t="s">
        <v>0</v>
      </c>
      <c r="B21" s="8" t="s">
        <v>0</v>
      </c>
      <c r="C21" s="18" t="s">
        <v>0</v>
      </c>
      <c r="D21" s="18" t="s">
        <v>0</v>
      </c>
      <c r="E21" s="3" t="s">
        <v>0</v>
      </c>
      <c r="F21" s="3" t="s">
        <v>0</v>
      </c>
    </row>
    <row r="22" spans="1:6">
      <c r="A22" s="3" t="s">
        <v>0</v>
      </c>
      <c r="B22" s="8" t="s">
        <v>0</v>
      </c>
      <c r="C22" s="18" t="s">
        <v>0</v>
      </c>
      <c r="D22" s="18" t="s">
        <v>0</v>
      </c>
      <c r="E22" s="3" t="s">
        <v>0</v>
      </c>
      <c r="F22" s="3" t="s">
        <v>0</v>
      </c>
    </row>
    <row r="23" spans="1:6">
      <c r="A23" s="3" t="s">
        <v>0</v>
      </c>
      <c r="B23" s="8" t="s">
        <v>0</v>
      </c>
      <c r="C23" s="18" t="s">
        <v>0</v>
      </c>
      <c r="D23" s="18" t="s">
        <v>0</v>
      </c>
      <c r="E23" s="3" t="s">
        <v>0</v>
      </c>
      <c r="F23" s="3" t="s">
        <v>0</v>
      </c>
    </row>
    <row r="24" spans="1:6">
      <c r="A24" s="3" t="s">
        <v>128</v>
      </c>
      <c r="B24" s="3" t="s">
        <v>0</v>
      </c>
      <c r="C24" s="3">
        <f>SUM(C5:C23)</f>
        <v>0</v>
      </c>
      <c r="D24" s="3" t="s">
        <v>0</v>
      </c>
      <c r="E24" s="3" t="s">
        <v>43</v>
      </c>
      <c r="F24" s="3" t="s">
        <v>0</v>
      </c>
    </row>
  </sheetData>
  <mergeCells count="25">
    <mergeCell ref="A1:F1"/>
    <mergeCell ref="C2:E2"/>
    <mergeCell ref="B3:E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A24:B24"/>
    <mergeCell ref="E24:F24"/>
  </mergeCells>
  <pageMargins left="1.0625" right="0.7" top="0.75" bottom="0.75" header="0.3" footer="0.3"/>
  <pageSetup paperSize="9" scale="125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E60"/>
  <sheetViews>
    <sheetView view="pageBreakPreview" zoomScaleNormal="100" topLeftCell="A16" workbookViewId="0">
      <selection activeCell="E13" sqref="E13"/>
    </sheetView>
  </sheetViews>
  <sheetFormatPr defaultColWidth="9" defaultRowHeight="14.4" outlineLevelCol="4"/>
  <cols>
    <col min="1" max="1" width="9" customWidth="1"/>
    <col min="2" max="2" width="19.3333333333333" customWidth="1"/>
    <col min="3" max="5" width="19.6666666666667" customWidth="1"/>
  </cols>
  <sheetData>
    <row r="1" ht="33.6" customHeight="1" spans="1:5">
      <c r="A1" s="10" t="s">
        <v>248</v>
      </c>
      <c r="B1" s="10" t="s">
        <v>0</v>
      </c>
      <c r="C1" s="10" t="s">
        <v>0</v>
      </c>
      <c r="D1" s="10" t="s">
        <v>0</v>
      </c>
      <c r="E1" s="10" t="s">
        <v>0</v>
      </c>
    </row>
    <row r="2" spans="1:5">
      <c r="A2" s="19"/>
      <c r="B2" s="19"/>
      <c r="C2" s="19"/>
      <c r="D2" s="19"/>
      <c r="E2" s="9" t="s">
        <v>47</v>
      </c>
    </row>
    <row r="3" ht="26" customHeight="1" spans="1:5">
      <c r="A3" s="12" t="s">
        <v>24</v>
      </c>
      <c r="B3" s="13" t="s">
        <v>327</v>
      </c>
      <c r="C3" s="13"/>
      <c r="D3" s="13"/>
      <c r="E3" s="12" t="s">
        <v>132</v>
      </c>
    </row>
    <row r="4" spans="1:5">
      <c r="A4" s="12" t="s">
        <v>133</v>
      </c>
      <c r="B4" s="13" t="s">
        <v>309</v>
      </c>
      <c r="C4" s="13"/>
      <c r="D4" s="13"/>
      <c r="E4" s="13" t="s">
        <v>310</v>
      </c>
    </row>
    <row r="5" spans="1:5">
      <c r="A5" s="12" t="s">
        <v>136</v>
      </c>
      <c r="B5" s="14" t="s">
        <v>336</v>
      </c>
      <c r="C5" s="14"/>
      <c r="D5" s="14"/>
      <c r="E5" s="21"/>
    </row>
    <row r="6" spans="1:5">
      <c r="A6" s="3" t="s">
        <v>32</v>
      </c>
      <c r="B6" s="3" t="s">
        <v>109</v>
      </c>
      <c r="C6" s="3" t="s">
        <v>250</v>
      </c>
      <c r="D6" s="3" t="s">
        <v>251</v>
      </c>
      <c r="E6" s="3" t="s">
        <v>207</v>
      </c>
    </row>
    <row r="7" spans="1:5">
      <c r="A7" s="3" t="s">
        <v>53</v>
      </c>
      <c r="B7" s="8" t="s">
        <v>241</v>
      </c>
      <c r="C7" s="3" t="s">
        <v>252</v>
      </c>
      <c r="D7" s="16">
        <f>ROUND('D1-1 分部分项工程量清单计价表【中幼龄林抚育‖FY】'!L6*0.1,2)*0</f>
        <v>0</v>
      </c>
      <c r="E7" s="8" t="s">
        <v>9</v>
      </c>
    </row>
    <row r="8" spans="1:5">
      <c r="A8" s="3" t="s">
        <v>0</v>
      </c>
      <c r="B8" s="8" t="s">
        <v>0</v>
      </c>
      <c r="C8" s="3" t="s">
        <v>0</v>
      </c>
      <c r="D8" s="18" t="s">
        <v>0</v>
      </c>
      <c r="E8" s="8" t="s">
        <v>0</v>
      </c>
    </row>
    <row r="9" spans="1:5">
      <c r="A9" s="3" t="s">
        <v>0</v>
      </c>
      <c r="B9" s="8" t="s">
        <v>0</v>
      </c>
      <c r="C9" s="3" t="s">
        <v>0</v>
      </c>
      <c r="D9" s="18" t="s">
        <v>0</v>
      </c>
      <c r="E9" s="8" t="s">
        <v>0</v>
      </c>
    </row>
    <row r="10" spans="1:5">
      <c r="A10" s="3" t="s">
        <v>0</v>
      </c>
      <c r="B10" s="8" t="s">
        <v>0</v>
      </c>
      <c r="C10" s="3" t="s">
        <v>0</v>
      </c>
      <c r="D10" s="18" t="s">
        <v>0</v>
      </c>
      <c r="E10" s="8" t="s">
        <v>0</v>
      </c>
    </row>
    <row r="11" spans="1:5">
      <c r="A11" s="3" t="s">
        <v>0</v>
      </c>
      <c r="B11" s="8" t="s">
        <v>0</v>
      </c>
      <c r="C11" s="3" t="s">
        <v>0</v>
      </c>
      <c r="D11" s="18" t="s">
        <v>0</v>
      </c>
      <c r="E11" s="8" t="s">
        <v>0</v>
      </c>
    </row>
    <row r="12" spans="1:5">
      <c r="A12" s="3" t="s">
        <v>0</v>
      </c>
      <c r="B12" s="8" t="s">
        <v>0</v>
      </c>
      <c r="C12" s="3" t="s">
        <v>0</v>
      </c>
      <c r="D12" s="18" t="s">
        <v>0</v>
      </c>
      <c r="E12" s="8" t="s">
        <v>0</v>
      </c>
    </row>
    <row r="13" spans="1:5">
      <c r="A13" s="3" t="s">
        <v>0</v>
      </c>
      <c r="B13" s="8" t="s">
        <v>0</v>
      </c>
      <c r="C13" s="3" t="s">
        <v>0</v>
      </c>
      <c r="D13" s="18" t="s">
        <v>0</v>
      </c>
      <c r="E13" s="8" t="s">
        <v>0</v>
      </c>
    </row>
    <row r="14" spans="1:5">
      <c r="A14" s="3" t="s">
        <v>0</v>
      </c>
      <c r="B14" s="8" t="s">
        <v>0</v>
      </c>
      <c r="C14" s="3" t="s">
        <v>0</v>
      </c>
      <c r="D14" s="18" t="s">
        <v>0</v>
      </c>
      <c r="E14" s="8" t="s">
        <v>0</v>
      </c>
    </row>
    <row r="15" spans="1:5">
      <c r="A15" s="3" t="s">
        <v>0</v>
      </c>
      <c r="B15" s="8" t="s">
        <v>0</v>
      </c>
      <c r="C15" s="3" t="s">
        <v>0</v>
      </c>
      <c r="D15" s="18" t="s">
        <v>0</v>
      </c>
      <c r="E15" s="8" t="s">
        <v>0</v>
      </c>
    </row>
    <row r="16" spans="1:5">
      <c r="A16" s="3" t="s">
        <v>0</v>
      </c>
      <c r="B16" s="8" t="s">
        <v>0</v>
      </c>
      <c r="C16" s="3" t="s">
        <v>0</v>
      </c>
      <c r="D16" s="18" t="s">
        <v>0</v>
      </c>
      <c r="E16" s="8" t="s">
        <v>0</v>
      </c>
    </row>
    <row r="17" spans="1:5">
      <c r="A17" s="3" t="s">
        <v>0</v>
      </c>
      <c r="B17" s="8" t="s">
        <v>0</v>
      </c>
      <c r="C17" s="3" t="s">
        <v>0</v>
      </c>
      <c r="D17" s="18" t="s">
        <v>0</v>
      </c>
      <c r="E17" s="8" t="s">
        <v>0</v>
      </c>
    </row>
    <row r="18" spans="1:5">
      <c r="A18" s="3" t="s">
        <v>0</v>
      </c>
      <c r="B18" s="8" t="s">
        <v>0</v>
      </c>
      <c r="C18" s="3" t="s">
        <v>0</v>
      </c>
      <c r="D18" s="18" t="s">
        <v>0</v>
      </c>
      <c r="E18" s="8" t="s">
        <v>0</v>
      </c>
    </row>
    <row r="19" spans="1:5">
      <c r="A19" s="3" t="s">
        <v>0</v>
      </c>
      <c r="B19" s="8" t="s">
        <v>0</v>
      </c>
      <c r="C19" s="3" t="s">
        <v>0</v>
      </c>
      <c r="D19" s="18" t="s">
        <v>0</v>
      </c>
      <c r="E19" s="8" t="s">
        <v>0</v>
      </c>
    </row>
    <row r="20" spans="1:5">
      <c r="A20" s="3" t="s">
        <v>0</v>
      </c>
      <c r="B20" s="8" t="s">
        <v>0</v>
      </c>
      <c r="C20" s="3" t="s">
        <v>0</v>
      </c>
      <c r="D20" s="18" t="s">
        <v>0</v>
      </c>
      <c r="E20" s="8" t="s">
        <v>0</v>
      </c>
    </row>
    <row r="21" spans="1:5">
      <c r="A21" s="3" t="s">
        <v>0</v>
      </c>
      <c r="B21" s="8" t="s">
        <v>0</v>
      </c>
      <c r="C21" s="3" t="s">
        <v>0</v>
      </c>
      <c r="D21" s="18" t="s">
        <v>0</v>
      </c>
      <c r="E21" s="8" t="s">
        <v>0</v>
      </c>
    </row>
    <row r="22" spans="1:5">
      <c r="A22" s="3" t="s">
        <v>0</v>
      </c>
      <c r="B22" s="8" t="s">
        <v>0</v>
      </c>
      <c r="C22" s="3" t="s">
        <v>0</v>
      </c>
      <c r="D22" s="18" t="s">
        <v>0</v>
      </c>
      <c r="E22" s="8" t="s">
        <v>0</v>
      </c>
    </row>
    <row r="23" spans="1:5">
      <c r="A23" s="3" t="s">
        <v>0</v>
      </c>
      <c r="B23" s="8" t="s">
        <v>0</v>
      </c>
      <c r="C23" s="3" t="s">
        <v>0</v>
      </c>
      <c r="D23" s="18" t="s">
        <v>0</v>
      </c>
      <c r="E23" s="8" t="s">
        <v>0</v>
      </c>
    </row>
    <row r="24" spans="1:5">
      <c r="A24" s="3" t="s">
        <v>0</v>
      </c>
      <c r="B24" s="8" t="s">
        <v>0</v>
      </c>
      <c r="C24" s="3" t="s">
        <v>0</v>
      </c>
      <c r="D24" s="18" t="s">
        <v>0</v>
      </c>
      <c r="E24" s="8" t="s">
        <v>0</v>
      </c>
    </row>
    <row r="25" spans="1:5">
      <c r="A25" s="3" t="s">
        <v>0</v>
      </c>
      <c r="B25" s="8" t="s">
        <v>0</v>
      </c>
      <c r="C25" s="3" t="s">
        <v>0</v>
      </c>
      <c r="D25" s="18" t="s">
        <v>0</v>
      </c>
      <c r="E25" s="8" t="s">
        <v>0</v>
      </c>
    </row>
    <row r="26" spans="1:5">
      <c r="A26" s="3" t="s">
        <v>128</v>
      </c>
      <c r="B26" s="3" t="s">
        <v>0</v>
      </c>
      <c r="C26" s="3" t="s">
        <v>0</v>
      </c>
      <c r="D26" s="3">
        <f>SUM(D7:D25)</f>
        <v>0</v>
      </c>
      <c r="E26" s="3" t="s">
        <v>43</v>
      </c>
    </row>
    <row r="27" spans="1:5">
      <c r="A27" s="22"/>
      <c r="B27" s="22"/>
      <c r="C27" s="22"/>
      <c r="D27" s="22"/>
      <c r="E27" s="22"/>
    </row>
    <row r="28" spans="1:5">
      <c r="A28" s="23" t="s">
        <v>253</v>
      </c>
      <c r="B28" s="23" t="s">
        <v>0</v>
      </c>
      <c r="C28" s="23" t="s">
        <v>0</v>
      </c>
      <c r="D28" s="23" t="s">
        <v>0</v>
      </c>
      <c r="E28" s="23" t="s">
        <v>0</v>
      </c>
    </row>
    <row r="30" ht="30.6" customHeight="1"/>
    <row r="59" ht="27.6" customHeight="1"/>
    <row r="60" ht="12" customHeight="1"/>
  </sheetData>
  <mergeCells count="7">
    <mergeCell ref="A1:E1"/>
    <mergeCell ref="C2:D2"/>
    <mergeCell ref="B3:D3"/>
    <mergeCell ref="B4:D4"/>
    <mergeCell ref="B5:D5"/>
    <mergeCell ref="A26:C26"/>
    <mergeCell ref="A28:E28"/>
  </mergeCells>
  <pageMargins left="1.85" right="0.7" top="0.75" bottom="0.75" header="0.3" footer="0.3"/>
  <pageSetup paperSize="9" scale="115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F27"/>
  <sheetViews>
    <sheetView view="pageBreakPreview" zoomScaleNormal="100" workbookViewId="0">
      <selection activeCell="B3" sqref="B3:D3"/>
    </sheetView>
  </sheetViews>
  <sheetFormatPr defaultColWidth="9" defaultRowHeight="14.4" outlineLevelCol="5"/>
  <cols>
    <col min="3" max="3" width="42.2222222222222" customWidth="1"/>
    <col min="4" max="4" width="14.4444444444444" customWidth="1"/>
    <col min="5" max="5" width="12.7777777777778" customWidth="1"/>
    <col min="6" max="6" width="17.3333333333333" customWidth="1"/>
  </cols>
  <sheetData>
    <row r="1" ht="20.4" spans="1:6">
      <c r="A1" s="10" t="s">
        <v>254</v>
      </c>
      <c r="B1" s="10"/>
      <c r="C1" s="10"/>
      <c r="D1" s="10"/>
      <c r="E1" s="10"/>
      <c r="F1" s="11" t="s">
        <v>47</v>
      </c>
    </row>
    <row r="2" spans="1:6">
      <c r="A2" s="12" t="s">
        <v>24</v>
      </c>
      <c r="B2" s="13" t="s">
        <v>327</v>
      </c>
      <c r="C2" s="13"/>
      <c r="D2" s="13"/>
      <c r="E2" s="13" t="s">
        <v>132</v>
      </c>
      <c r="F2" s="13" t="s">
        <v>0</v>
      </c>
    </row>
    <row r="3" spans="1:6">
      <c r="A3" s="12" t="s">
        <v>133</v>
      </c>
      <c r="B3" s="13" t="s">
        <v>337</v>
      </c>
      <c r="C3" s="13"/>
      <c r="D3" s="13"/>
      <c r="E3" s="13" t="s">
        <v>310</v>
      </c>
      <c r="F3" s="13" t="s">
        <v>0</v>
      </c>
    </row>
    <row r="4" spans="1:6">
      <c r="A4" s="12" t="s">
        <v>136</v>
      </c>
      <c r="B4" s="14" t="s">
        <v>336</v>
      </c>
      <c r="C4" s="14"/>
      <c r="D4" s="14"/>
      <c r="E4" s="12" t="s">
        <v>0</v>
      </c>
      <c r="F4" s="12" t="s">
        <v>0</v>
      </c>
    </row>
    <row r="5" ht="31.8" customHeight="1" spans="1:6">
      <c r="A5" s="3" t="s">
        <v>32</v>
      </c>
      <c r="B5" s="3" t="s">
        <v>109</v>
      </c>
      <c r="C5" s="3" t="s">
        <v>201</v>
      </c>
      <c r="D5" s="3" t="s">
        <v>202</v>
      </c>
      <c r="E5" s="3" t="s">
        <v>257</v>
      </c>
      <c r="F5" s="3" t="s">
        <v>258</v>
      </c>
    </row>
    <row r="6" ht="41.4" customHeight="1" spans="1:6">
      <c r="A6" s="3" t="s">
        <v>53</v>
      </c>
      <c r="B6" s="8" t="s">
        <v>39</v>
      </c>
      <c r="C6" s="3" t="s">
        <v>259</v>
      </c>
      <c r="D6" s="15">
        <f>'D3-3 分部分项工程量清单综合单价计算表(分页不带材料)~2'!F18</f>
        <v>0</v>
      </c>
      <c r="E6" s="16">
        <v>4.8</v>
      </c>
      <c r="F6" s="3">
        <f>ROUND(D6*E6/100,2)</f>
        <v>0</v>
      </c>
    </row>
    <row r="7" ht="41.4" customHeight="1" spans="1:6">
      <c r="A7" s="3" t="s">
        <v>60</v>
      </c>
      <c r="B7" s="8" t="s">
        <v>82</v>
      </c>
      <c r="C7" s="3" t="s">
        <v>260</v>
      </c>
      <c r="D7" s="17">
        <f>'D3-3 分部分项工程量清单综合单价计算表(分页不带材料)~2'!K18+'E.1分部分项工程总价措施项目清单计价表-FY型'!I18+'F1.1暂列金额明细表（FY型）'!D26+'G.1规费、税金项目清单计价表-FY型'!F6</f>
        <v>0</v>
      </c>
      <c r="E7" s="3">
        <v>9</v>
      </c>
      <c r="F7" s="3">
        <f>ROUND(D7*E7/100,2)</f>
        <v>0</v>
      </c>
    </row>
    <row r="8" ht="41.4" customHeight="1" spans="1:6">
      <c r="A8" s="3">
        <v>3</v>
      </c>
      <c r="B8" s="8" t="s">
        <v>83</v>
      </c>
      <c r="C8" s="3" t="s">
        <v>260</v>
      </c>
      <c r="D8" s="17">
        <f>D7</f>
        <v>0</v>
      </c>
      <c r="E8" s="3"/>
      <c r="F8" s="3">
        <f>ROUND(D8*E8/100,2)</f>
        <v>0</v>
      </c>
    </row>
    <row r="9" ht="41.4" customHeight="1" spans="1:6">
      <c r="A9" s="3" t="s">
        <v>0</v>
      </c>
      <c r="B9" s="8" t="s">
        <v>0</v>
      </c>
      <c r="C9" s="3" t="s">
        <v>0</v>
      </c>
      <c r="D9" s="18" t="s">
        <v>0</v>
      </c>
      <c r="E9" s="3" t="s">
        <v>0</v>
      </c>
      <c r="F9" s="3"/>
    </row>
    <row r="10" ht="41.4" customHeight="1" spans="1:6">
      <c r="A10" s="3" t="s">
        <v>0</v>
      </c>
      <c r="B10" s="8" t="s">
        <v>0</v>
      </c>
      <c r="C10" s="3" t="s">
        <v>0</v>
      </c>
      <c r="D10" s="18" t="s">
        <v>0</v>
      </c>
      <c r="E10" s="3" t="s">
        <v>0</v>
      </c>
      <c r="F10" s="3"/>
    </row>
    <row r="11" spans="1:6">
      <c r="A11" s="3" t="s">
        <v>164</v>
      </c>
      <c r="B11" s="3" t="s">
        <v>0</v>
      </c>
      <c r="C11" s="3" t="s">
        <v>0</v>
      </c>
      <c r="D11" s="3" t="s">
        <v>0</v>
      </c>
      <c r="E11" s="3" t="s">
        <v>0</v>
      </c>
      <c r="F11" s="3">
        <f>SUM(F6:F10)</f>
        <v>0</v>
      </c>
    </row>
    <row r="15" customHeight="1"/>
    <row r="27" customHeight="1"/>
  </sheetData>
  <mergeCells count="7">
    <mergeCell ref="A1:E1"/>
    <mergeCell ref="B2:D2"/>
    <mergeCell ref="E2:F2"/>
    <mergeCell ref="B3:D3"/>
    <mergeCell ref="E3:F3"/>
    <mergeCell ref="B4:D4"/>
    <mergeCell ref="A11:E11"/>
  </mergeCells>
  <pageMargins left="0.7" right="0.7" top="0.75" bottom="0.75" header="0.3" footer="0.3"/>
  <pageSetup paperSize="9" scale="125" orientation="landscape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view="pageBreakPreview" zoomScaleNormal="100" workbookViewId="0">
      <selection activeCell="B3" sqref="B3"/>
    </sheetView>
  </sheetViews>
  <sheetFormatPr defaultColWidth="9" defaultRowHeight="14.4" outlineLevelCol="5"/>
  <cols>
    <col min="1" max="1" width="10.6666666666667" customWidth="1"/>
    <col min="2" max="2" width="12.3333333333333" customWidth="1"/>
    <col min="3" max="3" width="21.2222222222222" customWidth="1"/>
    <col min="4" max="5" width="16.6666666666667" customWidth="1"/>
    <col min="6" max="6" width="18.3333333333333" customWidth="1"/>
  </cols>
  <sheetData>
    <row r="1" ht="29.4" customHeight="1" spans="1:6">
      <c r="A1" s="1" t="s">
        <v>261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</row>
    <row r="2" ht="29.4" customHeight="1" spans="1:6">
      <c r="A2" s="74" t="s">
        <v>24</v>
      </c>
      <c r="B2" s="2" t="s">
        <v>87</v>
      </c>
      <c r="C2" s="2"/>
      <c r="D2" s="2"/>
      <c r="E2" s="2"/>
      <c r="F2" s="2"/>
    </row>
    <row r="3" ht="31.8" customHeight="1" spans="1:6">
      <c r="A3" s="3" t="s">
        <v>32</v>
      </c>
      <c r="B3" s="3" t="s">
        <v>262</v>
      </c>
      <c r="C3" s="3" t="s">
        <v>263</v>
      </c>
      <c r="D3" s="3" t="s">
        <v>264</v>
      </c>
      <c r="E3" s="3" t="s">
        <v>110</v>
      </c>
      <c r="F3" s="3" t="s">
        <v>265</v>
      </c>
    </row>
    <row r="4" ht="19.95" customHeight="1" spans="1:6">
      <c r="A4" s="3" t="s">
        <v>53</v>
      </c>
      <c r="B4" s="3" t="s">
        <v>338</v>
      </c>
      <c r="C4" s="8" t="s">
        <v>320</v>
      </c>
      <c r="D4" s="3"/>
      <c r="E4" s="3" t="s">
        <v>170</v>
      </c>
      <c r="F4" s="3">
        <v>232</v>
      </c>
    </row>
    <row r="5" ht="19.95" customHeight="1" spans="1:6">
      <c r="A5" s="3" t="s">
        <v>60</v>
      </c>
      <c r="B5" s="3" t="s">
        <v>266</v>
      </c>
      <c r="C5" s="8" t="s">
        <v>267</v>
      </c>
      <c r="D5" s="3"/>
      <c r="E5" s="3" t="s">
        <v>170</v>
      </c>
      <c r="F5" s="3">
        <v>232</v>
      </c>
    </row>
    <row r="6" ht="19.95" customHeight="1" spans="1:6">
      <c r="A6" s="3" t="s">
        <v>64</v>
      </c>
      <c r="B6" s="3" t="s">
        <v>339</v>
      </c>
      <c r="C6" s="8" t="s">
        <v>321</v>
      </c>
      <c r="D6" s="8" t="s">
        <v>0</v>
      </c>
      <c r="E6" s="3" t="s">
        <v>170</v>
      </c>
      <c r="F6" s="3">
        <v>232</v>
      </c>
    </row>
    <row r="7" ht="19.95" customHeight="1" spans="1:6">
      <c r="A7" s="3" t="s">
        <v>74</v>
      </c>
      <c r="B7" s="3" t="s">
        <v>340</v>
      </c>
      <c r="C7" s="8" t="s">
        <v>322</v>
      </c>
      <c r="D7" s="8" t="s">
        <v>0</v>
      </c>
      <c r="E7" s="3" t="s">
        <v>170</v>
      </c>
      <c r="F7" s="3">
        <v>128</v>
      </c>
    </row>
    <row r="8" ht="19.95" customHeight="1" spans="1:6">
      <c r="A8" s="3" t="s">
        <v>75</v>
      </c>
      <c r="B8" s="3" t="s">
        <v>341</v>
      </c>
      <c r="C8" s="8" t="s">
        <v>323</v>
      </c>
      <c r="D8" s="8" t="s">
        <v>0</v>
      </c>
      <c r="E8" s="3" t="s">
        <v>170</v>
      </c>
      <c r="F8" s="3">
        <v>128</v>
      </c>
    </row>
    <row r="9" ht="19.95" customHeight="1" spans="1:6">
      <c r="A9" s="3" t="s">
        <v>77</v>
      </c>
      <c r="B9" s="3" t="s">
        <v>342</v>
      </c>
      <c r="C9" s="8" t="s">
        <v>324</v>
      </c>
      <c r="D9" s="8" t="s">
        <v>0</v>
      </c>
      <c r="E9" s="3" t="s">
        <v>170</v>
      </c>
      <c r="F9" s="3">
        <v>128</v>
      </c>
    </row>
    <row r="10" spans="1:6">
      <c r="A10" s="3" t="s">
        <v>81</v>
      </c>
      <c r="B10" s="3" t="s">
        <v>343</v>
      </c>
      <c r="C10" s="8" t="s">
        <v>325</v>
      </c>
      <c r="D10" s="8" t="s">
        <v>0</v>
      </c>
      <c r="E10" s="3" t="s">
        <v>170</v>
      </c>
      <c r="F10" s="3">
        <v>128</v>
      </c>
    </row>
    <row r="11" ht="19.95" customHeight="1" spans="1:6">
      <c r="A11" s="3" t="s">
        <v>157</v>
      </c>
      <c r="B11" s="3" t="s">
        <v>344</v>
      </c>
      <c r="C11" s="75" t="s">
        <v>326</v>
      </c>
      <c r="D11" s="8"/>
      <c r="E11" s="3" t="s">
        <v>170</v>
      </c>
      <c r="F11" s="3">
        <v>128</v>
      </c>
    </row>
    <row r="12" ht="19.95" customHeight="1" spans="1:6">
      <c r="A12" s="3" t="s">
        <v>160</v>
      </c>
      <c r="B12" s="3" t="s">
        <v>268</v>
      </c>
      <c r="C12" s="8" t="s">
        <v>171</v>
      </c>
      <c r="D12" s="8" t="s">
        <v>0</v>
      </c>
      <c r="E12" s="3" t="s">
        <v>170</v>
      </c>
      <c r="F12" s="3">
        <v>128</v>
      </c>
    </row>
    <row r="13" ht="19.95" customHeight="1" spans="1:6">
      <c r="A13" s="3" t="s">
        <v>278</v>
      </c>
      <c r="B13" s="3" t="s">
        <v>269</v>
      </c>
      <c r="C13" s="8" t="s">
        <v>172</v>
      </c>
      <c r="D13" s="8" t="s">
        <v>0</v>
      </c>
      <c r="E13" s="3" t="s">
        <v>170</v>
      </c>
      <c r="F13" s="3">
        <v>128</v>
      </c>
    </row>
    <row r="14" ht="19.95" customHeight="1" spans="1:6">
      <c r="A14" s="3" t="s">
        <v>280</v>
      </c>
      <c r="B14" s="3" t="s">
        <v>279</v>
      </c>
      <c r="C14" s="8" t="s">
        <v>183</v>
      </c>
      <c r="D14" s="8" t="s">
        <v>0</v>
      </c>
      <c r="E14" s="3" t="s">
        <v>170</v>
      </c>
      <c r="F14" s="3">
        <v>128</v>
      </c>
    </row>
    <row r="15" ht="19.95" customHeight="1" spans="1:6">
      <c r="A15" s="3" t="s">
        <v>282</v>
      </c>
      <c r="B15" s="3" t="s">
        <v>281</v>
      </c>
      <c r="C15" s="8" t="s">
        <v>184</v>
      </c>
      <c r="D15" s="8" t="s">
        <v>0</v>
      </c>
      <c r="E15" s="3" t="s">
        <v>185</v>
      </c>
      <c r="F15" s="3"/>
    </row>
    <row r="16" ht="19.95" customHeight="1" spans="1:6">
      <c r="A16" s="3" t="s">
        <v>284</v>
      </c>
      <c r="B16" s="3" t="s">
        <v>289</v>
      </c>
      <c r="C16" s="8" t="s">
        <v>159</v>
      </c>
      <c r="D16" s="8" t="s">
        <v>0</v>
      </c>
      <c r="E16" s="3" t="s">
        <v>290</v>
      </c>
      <c r="F16" s="3">
        <v>32</v>
      </c>
    </row>
    <row r="17" ht="19.95" customHeight="1" spans="1:6">
      <c r="A17" s="3" t="s">
        <v>286</v>
      </c>
      <c r="B17" s="3" t="s">
        <v>292</v>
      </c>
      <c r="C17" s="8" t="s">
        <v>188</v>
      </c>
      <c r="D17" s="8" t="s">
        <v>0</v>
      </c>
      <c r="E17" s="3" t="s">
        <v>189</v>
      </c>
      <c r="F17" s="18"/>
    </row>
    <row r="18" spans="1:6">
      <c r="A18" s="22"/>
      <c r="B18" s="22"/>
      <c r="C18" s="22"/>
      <c r="D18" s="22"/>
      <c r="E18" s="22"/>
      <c r="F18" s="22"/>
    </row>
    <row r="19" spans="1:6">
      <c r="A19" s="9" t="s">
        <v>29</v>
      </c>
      <c r="B19" s="9" t="s">
        <v>0</v>
      </c>
      <c r="C19" s="9" t="s">
        <v>0</v>
      </c>
      <c r="D19" s="9" t="s">
        <v>0</v>
      </c>
      <c r="E19" s="9" t="s">
        <v>0</v>
      </c>
      <c r="F19" s="9" t="s">
        <v>0</v>
      </c>
    </row>
  </sheetData>
  <mergeCells count="3">
    <mergeCell ref="A1:F1"/>
    <mergeCell ref="B2:F2"/>
    <mergeCell ref="A19:F19"/>
  </mergeCells>
  <pageMargins left="2.32222222222222" right="0.708661417322835" top="0.748031496062992" bottom="0.748031496062992" header="0.31496062992126" footer="0.31496062992126"/>
  <pageSetup paperSize="9" scale="98" orientation="landscape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view="pageBreakPreview" zoomScaleNormal="100" workbookViewId="0">
      <selection activeCell="L12" sqref="L12"/>
    </sheetView>
  </sheetViews>
  <sheetFormatPr defaultColWidth="9" defaultRowHeight="14.4"/>
  <cols>
    <col min="1" max="1" width="4.55555555555556" customWidth="1"/>
    <col min="2" max="2" width="9.87962962962963" customWidth="1"/>
    <col min="3" max="3" width="15.5555555555556" customWidth="1"/>
    <col min="4" max="4" width="5.33333333333333" customWidth="1"/>
    <col min="5" max="5" width="8.55555555555556" customWidth="1"/>
    <col min="6" max="8" width="9.77777777777778" customWidth="1"/>
    <col min="9" max="9" width="6.66666666666667" customWidth="1"/>
    <col min="10" max="10" width="8.11111111111111" customWidth="1"/>
    <col min="11" max="11" width="8.44444444444444" customWidth="1"/>
    <col min="12" max="13" width="12.8888888888889" customWidth="1"/>
    <col min="14" max="14" width="9.66666666666667" customWidth="1"/>
    <col min="15" max="15" width="11.7777777777778" customWidth="1"/>
    <col min="16" max="16" width="10.6666666666667" customWidth="1"/>
    <col min="17" max="17" width="11.7777777777778" customWidth="1"/>
  </cols>
  <sheetData>
    <row r="1" ht="25.8" customHeight="1" spans="1:14">
      <c r="A1" s="1" t="s">
        <v>106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2.95" customHeight="1" spans="1:14">
      <c r="A2" s="69" t="s">
        <v>345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ht="22.95" customHeight="1" spans="1:17">
      <c r="A3" s="3" t="s">
        <v>32</v>
      </c>
      <c r="B3" s="3" t="s">
        <v>108</v>
      </c>
      <c r="C3" s="3" t="s">
        <v>109</v>
      </c>
      <c r="D3" s="3" t="s">
        <v>110</v>
      </c>
      <c r="E3" s="3" t="s">
        <v>111</v>
      </c>
      <c r="F3" s="3" t="s">
        <v>50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ht="22.95" customHeight="1" spans="1:17">
      <c r="A4" s="3"/>
      <c r="B4" s="3"/>
      <c r="C4" s="3"/>
      <c r="D4" s="3"/>
      <c r="E4" s="3"/>
      <c r="F4" s="3" t="s">
        <v>112</v>
      </c>
      <c r="G4" s="3"/>
      <c r="H4" s="3"/>
      <c r="I4" s="3"/>
      <c r="J4" s="3"/>
      <c r="K4" s="3"/>
      <c r="L4" s="3" t="s">
        <v>113</v>
      </c>
      <c r="M4" s="3"/>
      <c r="N4" s="3"/>
      <c r="O4" s="3"/>
      <c r="P4" s="3"/>
      <c r="Q4" s="3"/>
    </row>
    <row r="5" ht="22.95" customHeight="1" spans="1:17">
      <c r="A5" s="3" t="s">
        <v>0</v>
      </c>
      <c r="B5" s="3"/>
      <c r="C5" s="3" t="s">
        <v>0</v>
      </c>
      <c r="D5" s="3" t="s">
        <v>0</v>
      </c>
      <c r="E5" s="3" t="s">
        <v>0</v>
      </c>
      <c r="F5" s="3" t="s">
        <v>114</v>
      </c>
      <c r="G5" s="3" t="s">
        <v>115</v>
      </c>
      <c r="H5" s="3" t="s">
        <v>116</v>
      </c>
      <c r="I5" s="3" t="s">
        <v>117</v>
      </c>
      <c r="J5" s="3" t="s">
        <v>118</v>
      </c>
      <c r="K5" s="3" t="s">
        <v>119</v>
      </c>
      <c r="L5" s="3" t="s">
        <v>114</v>
      </c>
      <c r="M5" s="3" t="s">
        <v>115</v>
      </c>
      <c r="N5" s="3" t="s">
        <v>116</v>
      </c>
      <c r="O5" s="3" t="s">
        <v>117</v>
      </c>
      <c r="P5" s="3" t="s">
        <v>118</v>
      </c>
      <c r="Q5" s="3" t="s">
        <v>119</v>
      </c>
    </row>
    <row r="6" ht="22.95" customHeight="1" spans="1:17">
      <c r="A6" s="3" t="s">
        <v>53</v>
      </c>
      <c r="B6" s="3" t="s">
        <v>123</v>
      </c>
      <c r="C6" s="3" t="s">
        <v>91</v>
      </c>
      <c r="D6" s="3" t="s">
        <v>121</v>
      </c>
      <c r="E6" s="3">
        <v>61.6</v>
      </c>
      <c r="F6" s="3">
        <f>ROUND(L6/$E6,2)</f>
        <v>0</v>
      </c>
      <c r="G6" s="3">
        <f>ROUND(M6/$E6,2)</f>
        <v>0</v>
      </c>
      <c r="H6" s="3">
        <f t="shared" ref="H6:K6" si="0">ROUND(N6/$E6,2)</f>
        <v>0</v>
      </c>
      <c r="I6" s="3">
        <f t="shared" si="0"/>
        <v>0</v>
      </c>
      <c r="J6" s="3">
        <f t="shared" si="0"/>
        <v>0</v>
      </c>
      <c r="K6" s="3">
        <f t="shared" si="0"/>
        <v>0</v>
      </c>
      <c r="L6" s="3">
        <f>'D3-3 分部分项工程量清单综合单价计算表(分页不带材料)~3'!K17</f>
        <v>0</v>
      </c>
      <c r="M6" s="72">
        <f>'D3-3 分部分项工程量清单综合单价计算表(分页不带材料)~3'!F17</f>
        <v>0</v>
      </c>
      <c r="N6" s="72">
        <f>'D3-3 分部分项工程量清单综合单价计算表(分页不带材料)~3'!G17</f>
        <v>0</v>
      </c>
      <c r="O6" s="72">
        <f>'D3-3 分部分项工程量清单综合单价计算表(分页不带材料)~3'!H17</f>
        <v>0</v>
      </c>
      <c r="P6" s="72">
        <f>'D3-3 分部分项工程量清单综合单价计算表(分页不带材料)~3'!I17</f>
        <v>0</v>
      </c>
      <c r="Q6" s="72">
        <f>'D3-3 分部分项工程量清单综合单价计算表(分页不带材料)~3'!J17</f>
        <v>0</v>
      </c>
    </row>
    <row r="7" ht="22.95" customHeight="1" spans="1:17">
      <c r="A7" s="3" t="s">
        <v>60</v>
      </c>
      <c r="B7" s="3" t="s">
        <v>124</v>
      </c>
      <c r="C7" s="3" t="s">
        <v>92</v>
      </c>
      <c r="D7" s="3" t="s">
        <v>121</v>
      </c>
      <c r="E7" s="3">
        <v>870.6</v>
      </c>
      <c r="F7" s="3">
        <f t="shared" ref="F7:F10" si="1">ROUND(L7/E7,2)</f>
        <v>0</v>
      </c>
      <c r="G7" s="3">
        <f t="shared" ref="G7:G10" si="2">ROUND(M7/$E7,2)</f>
        <v>0</v>
      </c>
      <c r="H7" s="3">
        <f t="shared" ref="H7:H10" si="3">ROUND(N7/$E7,2)</f>
        <v>0</v>
      </c>
      <c r="I7" s="3">
        <f>ROUND(O7/$E7,2)</f>
        <v>0</v>
      </c>
      <c r="J7" s="3">
        <f t="shared" ref="J7:J10" si="4">ROUND(P7/$E7,2)</f>
        <v>0</v>
      </c>
      <c r="K7" s="3">
        <f t="shared" ref="K7:K10" si="5">ROUND(Q7/$E7,2)</f>
        <v>0</v>
      </c>
      <c r="L7" s="3">
        <f>'D3-3 分部分项工程量清单综合单价计算表(分页不带材料)~3'!K36</f>
        <v>0</v>
      </c>
      <c r="M7" s="72">
        <f>'D3-3 分部分项工程量清单综合单价计算表(分页不带材料)~3'!F36</f>
        <v>0</v>
      </c>
      <c r="N7" s="72">
        <f>'D3-3 分部分项工程量清单综合单价计算表(分页不带材料)~3'!G36</f>
        <v>0</v>
      </c>
      <c r="O7" s="72">
        <f>'D3-3 分部分项工程量清单综合单价计算表(分页不带材料)~3'!H36</f>
        <v>0</v>
      </c>
      <c r="P7" s="72">
        <f>'D3-3 分部分项工程量清单综合单价计算表(分页不带材料)~3'!I36</f>
        <v>0</v>
      </c>
      <c r="Q7" s="72">
        <f>'D3-3 分部分项工程量清单综合单价计算表(分页不带材料)~3'!J36</f>
        <v>0</v>
      </c>
    </row>
    <row r="8" ht="22.95" customHeight="1" spans="1:17">
      <c r="A8" s="3" t="s">
        <v>64</v>
      </c>
      <c r="B8" s="3" t="s">
        <v>125</v>
      </c>
      <c r="C8" s="3" t="s">
        <v>94</v>
      </c>
      <c r="D8" s="3" t="s">
        <v>121</v>
      </c>
      <c r="E8" s="3">
        <v>13796.8</v>
      </c>
      <c r="F8" s="3">
        <f t="shared" si="1"/>
        <v>453.91</v>
      </c>
      <c r="G8" s="3">
        <f t="shared" si="2"/>
        <v>238.54</v>
      </c>
      <c r="H8" s="3">
        <f t="shared" si="3"/>
        <v>160.01</v>
      </c>
      <c r="I8" s="3">
        <f>ROUND(O8/$E8,2)</f>
        <v>38.66</v>
      </c>
      <c r="J8" s="3">
        <f t="shared" si="4"/>
        <v>4.77</v>
      </c>
      <c r="K8" s="3">
        <f t="shared" si="5"/>
        <v>11.93</v>
      </c>
      <c r="L8" s="3">
        <f>'D3-3 分部分项工程量清单综合单价计算表(分页不带材料)~3'!K55</f>
        <v>6262495.78404</v>
      </c>
      <c r="M8" s="72">
        <f>'D3-3 分部分项工程量清单综合单价计算表(分页不带材料)~3'!F55</f>
        <v>3291096.628</v>
      </c>
      <c r="N8" s="72">
        <f>'D3-3 分部分项工程量清单综合单价计算表(分页不带材料)~3'!G55</f>
        <v>2207618.45804</v>
      </c>
      <c r="O8" s="72">
        <f>'D3-3 分部分项工程量清单综合单价计算表(分页不带材料)~3'!H55</f>
        <v>533403.948</v>
      </c>
      <c r="P8" s="72">
        <f>'D3-3 分部分项工程量清单综合单价计算表(分页不带材料)~3'!I55</f>
        <v>65821.93</v>
      </c>
      <c r="Q8" s="72">
        <f>'D3-3 分部分项工程量清单综合单价计算表(分页不带材料)~3'!J55</f>
        <v>164554.82</v>
      </c>
    </row>
    <row r="9" ht="22.95" customHeight="1" spans="1:17">
      <c r="A9" s="3" t="s">
        <v>74</v>
      </c>
      <c r="B9" s="3" t="s">
        <v>126</v>
      </c>
      <c r="C9" s="3" t="s">
        <v>96</v>
      </c>
      <c r="D9" s="3" t="s">
        <v>121</v>
      </c>
      <c r="E9" s="3">
        <v>103.3</v>
      </c>
      <c r="F9" s="3">
        <f t="shared" si="1"/>
        <v>0</v>
      </c>
      <c r="G9" s="3">
        <f t="shared" si="2"/>
        <v>0</v>
      </c>
      <c r="H9" s="3">
        <f t="shared" si="3"/>
        <v>0</v>
      </c>
      <c r="I9" s="3">
        <f>ROUND(O9/$E9,2)</f>
        <v>0</v>
      </c>
      <c r="J9" s="3">
        <f t="shared" si="4"/>
        <v>0</v>
      </c>
      <c r="K9" s="3">
        <f t="shared" si="5"/>
        <v>0</v>
      </c>
      <c r="L9" s="3">
        <f>'D3-3 分部分项工程量清单综合单价计算表(分页不带材料)~3'!K74</f>
        <v>0</v>
      </c>
      <c r="M9" s="72">
        <f>'D3-3 分部分项工程量清单综合单价计算表(分页不带材料)~3'!F74</f>
        <v>0</v>
      </c>
      <c r="N9" s="72">
        <f>'D3-3 分部分项工程量清单综合单价计算表(分页不带材料)~3'!G74</f>
        <v>0</v>
      </c>
      <c r="O9" s="72">
        <f>'D3-3 分部分项工程量清单综合单价计算表(分页不带材料)~3'!H74</f>
        <v>0</v>
      </c>
      <c r="P9" s="72">
        <f>'D3-3 分部分项工程量清单综合单价计算表(分页不带材料)~3'!I74</f>
        <v>0</v>
      </c>
      <c r="Q9" s="72">
        <f>'D3-3 分部分项工程量清单综合单价计算表(分页不带材料)~3'!J74</f>
        <v>0</v>
      </c>
    </row>
    <row r="10" ht="22.95" customHeight="1" spans="1:17">
      <c r="A10" s="3"/>
      <c r="B10" s="4"/>
      <c r="C10" s="8"/>
      <c r="D10" s="3"/>
      <c r="E10" s="18"/>
      <c r="F10" s="18"/>
      <c r="G10" s="18"/>
      <c r="H10" s="18"/>
      <c r="I10" s="18"/>
      <c r="J10" s="18"/>
      <c r="K10" s="18"/>
      <c r="L10" s="18"/>
      <c r="M10" s="73"/>
      <c r="N10" s="73"/>
      <c r="O10" s="73"/>
      <c r="P10" s="73"/>
      <c r="Q10" s="73"/>
    </row>
    <row r="11" ht="22.95" customHeight="1" spans="1:17">
      <c r="A11" s="3"/>
      <c r="B11" s="4"/>
      <c r="C11" s="8"/>
      <c r="D11" s="3"/>
      <c r="E11" s="18"/>
      <c r="F11" s="18"/>
      <c r="G11" s="18"/>
      <c r="H11" s="18"/>
      <c r="I11" s="18"/>
      <c r="J11" s="18"/>
      <c r="K11" s="18"/>
      <c r="L11" s="18"/>
      <c r="M11" s="6"/>
      <c r="N11" s="6"/>
      <c r="O11" s="6"/>
      <c r="P11" s="6"/>
      <c r="Q11" s="6"/>
    </row>
    <row r="12" ht="22.95" customHeight="1" spans="1:17">
      <c r="A12" s="3" t="s">
        <v>0</v>
      </c>
      <c r="B12" s="4" t="s">
        <v>0</v>
      </c>
      <c r="C12" s="8" t="s">
        <v>0</v>
      </c>
      <c r="D12" s="3" t="s">
        <v>0</v>
      </c>
      <c r="E12" s="18" t="s">
        <v>0</v>
      </c>
      <c r="F12" s="18" t="s">
        <v>0</v>
      </c>
      <c r="G12" s="18"/>
      <c r="H12" s="18"/>
      <c r="I12" s="18"/>
      <c r="J12" s="18"/>
      <c r="K12" s="18"/>
      <c r="L12" s="18" t="s">
        <v>0</v>
      </c>
      <c r="M12" s="6"/>
      <c r="N12" s="6"/>
      <c r="O12" s="6"/>
      <c r="P12" s="6"/>
      <c r="Q12" s="6"/>
    </row>
    <row r="13" ht="22.95" customHeight="1" spans="1:17">
      <c r="A13" s="3" t="s">
        <v>0</v>
      </c>
      <c r="B13" s="4" t="s">
        <v>0</v>
      </c>
      <c r="C13" s="8" t="s">
        <v>0</v>
      </c>
      <c r="D13" s="3" t="s">
        <v>0</v>
      </c>
      <c r="E13" s="18" t="s">
        <v>0</v>
      </c>
      <c r="F13" s="18" t="s">
        <v>0</v>
      </c>
      <c r="G13" s="18"/>
      <c r="H13" s="18"/>
      <c r="I13" s="18"/>
      <c r="J13" s="18"/>
      <c r="K13" s="18"/>
      <c r="L13" s="18" t="s">
        <v>0</v>
      </c>
      <c r="M13" s="6"/>
      <c r="N13" s="6"/>
      <c r="O13" s="6"/>
      <c r="P13" s="6"/>
      <c r="Q13" s="6"/>
    </row>
    <row r="14" ht="22.95" customHeight="1" spans="1:17">
      <c r="A14" s="3" t="s">
        <v>0</v>
      </c>
      <c r="B14" s="4" t="s">
        <v>0</v>
      </c>
      <c r="C14" s="8" t="s">
        <v>0</v>
      </c>
      <c r="D14" s="3" t="s">
        <v>0</v>
      </c>
      <c r="E14" s="18" t="s">
        <v>0</v>
      </c>
      <c r="F14" s="18" t="s">
        <v>0</v>
      </c>
      <c r="G14" s="18"/>
      <c r="H14" s="18"/>
      <c r="I14" s="18"/>
      <c r="J14" s="18"/>
      <c r="K14" s="18"/>
      <c r="L14" s="18" t="s">
        <v>0</v>
      </c>
      <c r="M14" s="6"/>
      <c r="N14" s="6"/>
      <c r="O14" s="6"/>
      <c r="P14" s="6"/>
      <c r="Q14" s="6"/>
    </row>
    <row r="15" ht="22.95" customHeight="1" spans="1:17">
      <c r="A15" s="3" t="s">
        <v>0</v>
      </c>
      <c r="B15" s="4" t="s">
        <v>0</v>
      </c>
      <c r="C15" s="8" t="s">
        <v>0</v>
      </c>
      <c r="D15" s="3" t="s">
        <v>0</v>
      </c>
      <c r="E15" s="18" t="s">
        <v>0</v>
      </c>
      <c r="F15" s="18" t="s">
        <v>0</v>
      </c>
      <c r="G15" s="18"/>
      <c r="H15" s="18"/>
      <c r="I15" s="18"/>
      <c r="J15" s="18"/>
      <c r="K15" s="18"/>
      <c r="L15" s="18" t="s">
        <v>0</v>
      </c>
      <c r="M15" s="6"/>
      <c r="N15" s="6"/>
      <c r="O15" s="6"/>
      <c r="P15" s="6"/>
      <c r="Q15" s="6"/>
    </row>
    <row r="16" ht="22.95" customHeight="1" spans="1:17">
      <c r="A16" s="3" t="s">
        <v>0</v>
      </c>
      <c r="B16" s="4" t="s">
        <v>0</v>
      </c>
      <c r="C16" s="8" t="s">
        <v>0</v>
      </c>
      <c r="D16" s="3" t="s">
        <v>0</v>
      </c>
      <c r="E16" s="18" t="s">
        <v>0</v>
      </c>
      <c r="F16" s="18" t="s">
        <v>0</v>
      </c>
      <c r="G16" s="18"/>
      <c r="H16" s="18"/>
      <c r="I16" s="18"/>
      <c r="J16" s="18"/>
      <c r="K16" s="18"/>
      <c r="L16" s="18" t="s">
        <v>0</v>
      </c>
      <c r="M16" s="6"/>
      <c r="N16" s="6"/>
      <c r="O16" s="6"/>
      <c r="P16" s="6"/>
      <c r="Q16" s="6"/>
    </row>
    <row r="17" ht="22.95" customHeight="1" spans="1:17">
      <c r="A17" s="3" t="s">
        <v>0</v>
      </c>
      <c r="B17" s="4" t="s">
        <v>0</v>
      </c>
      <c r="C17" s="8" t="s">
        <v>0</v>
      </c>
      <c r="D17" s="3" t="s">
        <v>0</v>
      </c>
      <c r="E17" s="18" t="s">
        <v>0</v>
      </c>
      <c r="F17" s="18" t="s">
        <v>0</v>
      </c>
      <c r="G17" s="18"/>
      <c r="H17" s="18"/>
      <c r="I17" s="18"/>
      <c r="J17" s="18"/>
      <c r="K17" s="18"/>
      <c r="L17" s="18" t="s">
        <v>0</v>
      </c>
      <c r="M17" s="6"/>
      <c r="N17" s="6"/>
      <c r="O17" s="6"/>
      <c r="P17" s="6"/>
      <c r="Q17" s="6"/>
    </row>
    <row r="18" ht="22.95" customHeight="1" spans="1:17">
      <c r="A18" s="3" t="s">
        <v>0</v>
      </c>
      <c r="B18" s="4" t="s">
        <v>0</v>
      </c>
      <c r="C18" s="8" t="s">
        <v>0</v>
      </c>
      <c r="D18" s="3" t="s">
        <v>0</v>
      </c>
      <c r="E18" s="18" t="s">
        <v>0</v>
      </c>
      <c r="F18" s="18" t="s">
        <v>0</v>
      </c>
      <c r="G18" s="18"/>
      <c r="H18" s="18"/>
      <c r="I18" s="18"/>
      <c r="J18" s="18"/>
      <c r="K18" s="18"/>
      <c r="L18" s="18" t="s">
        <v>0</v>
      </c>
      <c r="M18" s="6"/>
      <c r="N18" s="6"/>
      <c r="O18" s="6"/>
      <c r="P18" s="6"/>
      <c r="Q18" s="6"/>
    </row>
    <row r="19" ht="22.95" customHeight="1" spans="1:17">
      <c r="A19" s="3" t="s">
        <v>0</v>
      </c>
      <c r="B19" s="4" t="s">
        <v>0</v>
      </c>
      <c r="C19" s="8" t="s">
        <v>0</v>
      </c>
      <c r="D19" s="3" t="s">
        <v>0</v>
      </c>
      <c r="E19" s="18" t="s">
        <v>0</v>
      </c>
      <c r="F19" s="18" t="s">
        <v>0</v>
      </c>
      <c r="G19" s="18"/>
      <c r="H19" s="18"/>
      <c r="I19" s="18"/>
      <c r="J19" s="18"/>
      <c r="K19" s="18"/>
      <c r="L19" s="18" t="s">
        <v>0</v>
      </c>
      <c r="M19" s="6"/>
      <c r="N19" s="6"/>
      <c r="O19" s="6"/>
      <c r="P19" s="6"/>
      <c r="Q19" s="6"/>
    </row>
    <row r="20" ht="22.95" customHeight="1" spans="1:17">
      <c r="A20" s="3" t="s">
        <v>0</v>
      </c>
      <c r="B20" s="4" t="s">
        <v>0</v>
      </c>
      <c r="C20" s="8" t="s">
        <v>0</v>
      </c>
      <c r="D20" s="3" t="s">
        <v>0</v>
      </c>
      <c r="E20" s="18" t="s">
        <v>0</v>
      </c>
      <c r="F20" s="18" t="s">
        <v>0</v>
      </c>
      <c r="G20" s="18"/>
      <c r="H20" s="18"/>
      <c r="I20" s="18"/>
      <c r="J20" s="18"/>
      <c r="K20" s="18"/>
      <c r="L20" s="18" t="s">
        <v>0</v>
      </c>
      <c r="M20" s="6"/>
      <c r="N20" s="6"/>
      <c r="O20" s="6"/>
      <c r="P20" s="6"/>
      <c r="Q20" s="6"/>
    </row>
    <row r="21" ht="22.95" customHeight="1" spans="1:17">
      <c r="A21" s="70" t="s">
        <v>0</v>
      </c>
      <c r="B21" s="71" t="s">
        <v>0</v>
      </c>
      <c r="C21" s="3" t="s">
        <v>127</v>
      </c>
      <c r="D21" s="70" t="s">
        <v>0</v>
      </c>
      <c r="E21" s="70" t="s">
        <v>0</v>
      </c>
      <c r="F21" s="70" t="s">
        <v>0</v>
      </c>
      <c r="G21" s="3"/>
      <c r="H21" s="3"/>
      <c r="I21" s="3"/>
      <c r="J21" s="3"/>
      <c r="K21" s="3"/>
      <c r="L21" s="3">
        <f t="shared" ref="L21:Q21" si="6">SUM(L6:L20)</f>
        <v>6262495.78404</v>
      </c>
      <c r="M21" s="3">
        <f t="shared" si="6"/>
        <v>3291096.628</v>
      </c>
      <c r="N21" s="3">
        <f t="shared" si="6"/>
        <v>2207618.45804</v>
      </c>
      <c r="O21" s="3">
        <f t="shared" si="6"/>
        <v>533403.948</v>
      </c>
      <c r="P21" s="3">
        <f t="shared" si="6"/>
        <v>65821.93</v>
      </c>
      <c r="Q21" s="3">
        <f t="shared" si="6"/>
        <v>164554.82</v>
      </c>
    </row>
    <row r="22" ht="22.95" customHeight="1" spans="1:17">
      <c r="A22" s="70" t="s">
        <v>0</v>
      </c>
      <c r="B22" s="71" t="s">
        <v>0</v>
      </c>
      <c r="C22" s="3" t="s">
        <v>128</v>
      </c>
      <c r="D22" s="70" t="s">
        <v>0</v>
      </c>
      <c r="E22" s="70" t="s">
        <v>0</v>
      </c>
      <c r="F22" s="70" t="s">
        <v>0</v>
      </c>
      <c r="G22" s="3"/>
      <c r="H22" s="3"/>
      <c r="I22" s="3"/>
      <c r="J22" s="3"/>
      <c r="K22" s="3"/>
      <c r="L22" s="3">
        <f>L21</f>
        <v>6262495.78404</v>
      </c>
      <c r="M22" s="3">
        <f t="shared" ref="M22:O22" si="7">M21</f>
        <v>3291096.628</v>
      </c>
      <c r="N22" s="3">
        <f t="shared" si="7"/>
        <v>2207618.45804</v>
      </c>
      <c r="O22" s="3">
        <f t="shared" si="7"/>
        <v>533403.948</v>
      </c>
      <c r="P22" s="3">
        <f t="shared" ref="P22:Q22" si="8">P21</f>
        <v>65821.93</v>
      </c>
      <c r="Q22" s="3">
        <f t="shared" si="8"/>
        <v>164554.82</v>
      </c>
    </row>
    <row r="23" spans="1:1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4" customHeight="1" spans="1:17">
      <c r="A24" s="20" t="s">
        <v>29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</row>
  </sheetData>
  <mergeCells count="11">
    <mergeCell ref="A1:N1"/>
    <mergeCell ref="A2:N2"/>
    <mergeCell ref="F3:Q3"/>
    <mergeCell ref="F4:K4"/>
    <mergeCell ref="L4:Q4"/>
    <mergeCell ref="A24:Q24"/>
    <mergeCell ref="A3:A5"/>
    <mergeCell ref="B3:B5"/>
    <mergeCell ref="C3:C5"/>
    <mergeCell ref="D3:D5"/>
    <mergeCell ref="E3:E5"/>
  </mergeCells>
  <pageMargins left="0.708661417322835" right="0.708661417322835" top="0.748031496062992" bottom="0.748031496062992" header="0.31496062992126" footer="0.31496062992126"/>
  <pageSetup paperSize="9" scale="80" orientation="landscape"/>
  <headerFooter/>
  <ignoredErrors>
    <ignoredError sqref="O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H17"/>
  <sheetViews>
    <sheetView view="pageBreakPreview" zoomScaleNormal="85" workbookViewId="0">
      <selection activeCell="F10" sqref="F10"/>
    </sheetView>
  </sheetViews>
  <sheetFormatPr defaultColWidth="9" defaultRowHeight="14.4" outlineLevelCol="7"/>
  <cols>
    <col min="1" max="1" width="10.5555555555556" customWidth="1"/>
    <col min="2" max="3" width="13.212962962963" customWidth="1"/>
    <col min="4" max="4" width="12.7777777777778" customWidth="1"/>
    <col min="5" max="5" width="14" customWidth="1"/>
    <col min="6" max="6" width="17.4444444444444" customWidth="1"/>
    <col min="7" max="7" width="15.1111111111111" customWidth="1"/>
    <col min="8" max="8" width="17.3333333333333" customWidth="1"/>
  </cols>
  <sheetData>
    <row r="1" ht="40.2" customHeight="1" spans="1:8">
      <c r="A1" s="118" t="s">
        <v>30</v>
      </c>
      <c r="B1" s="118"/>
      <c r="C1" s="118"/>
      <c r="D1" s="118"/>
      <c r="E1" s="118"/>
      <c r="F1" s="118"/>
      <c r="G1" s="118"/>
      <c r="H1" s="118"/>
    </row>
    <row r="2" ht="23" customHeight="1" spans="1:8">
      <c r="A2" s="27" t="s">
        <v>24</v>
      </c>
      <c r="B2" s="23" t="s">
        <v>1</v>
      </c>
      <c r="C2" s="23"/>
      <c r="D2" s="23"/>
      <c r="E2" s="23"/>
      <c r="F2" s="23"/>
      <c r="H2" s="9" t="s">
        <v>31</v>
      </c>
    </row>
    <row r="3" customHeight="1" spans="1:8">
      <c r="A3" s="3" t="s">
        <v>32</v>
      </c>
      <c r="B3" s="3" t="s">
        <v>33</v>
      </c>
      <c r="C3" s="3" t="s">
        <v>0</v>
      </c>
      <c r="D3" s="3" t="s">
        <v>34</v>
      </c>
      <c r="E3" s="3" t="s">
        <v>35</v>
      </c>
      <c r="F3" s="3" t="s">
        <v>36</v>
      </c>
      <c r="G3" s="3" t="s">
        <v>0</v>
      </c>
      <c r="H3" s="3" t="s">
        <v>37</v>
      </c>
    </row>
    <row r="4" spans="1:8">
      <c r="A4" s="3" t="s">
        <v>0</v>
      </c>
      <c r="B4" s="3" t="s">
        <v>0</v>
      </c>
      <c r="C4" s="119" t="s">
        <v>0</v>
      </c>
      <c r="D4" s="3" t="s">
        <v>0</v>
      </c>
      <c r="E4" s="3" t="s">
        <v>0</v>
      </c>
      <c r="F4" s="3" t="s">
        <v>38</v>
      </c>
      <c r="G4" s="3" t="s">
        <v>39</v>
      </c>
      <c r="H4" s="3"/>
    </row>
    <row r="5" ht="30" customHeight="1" spans="1:8">
      <c r="A5" s="3">
        <v>1</v>
      </c>
      <c r="B5" s="8" t="s">
        <v>40</v>
      </c>
      <c r="C5" s="8" t="s">
        <v>0</v>
      </c>
      <c r="D5" s="3">
        <v>70.9</v>
      </c>
      <c r="E5" s="3">
        <f>'C1-1单项工程预算汇总表-ZL型'!D13</f>
        <v>429086.768</v>
      </c>
      <c r="F5" s="3">
        <f>'C1-1单项工程预算汇总表-ZL型'!E13</f>
        <v>5166.9265</v>
      </c>
      <c r="G5" s="3">
        <f>'C1-1单项工程预算汇总表-ZL型'!F13</f>
        <v>9652.97</v>
      </c>
      <c r="H5" s="3">
        <f>ROUND(E5/D5,2)</f>
        <v>6052</v>
      </c>
    </row>
    <row r="6" ht="30" customHeight="1" spans="1:8">
      <c r="A6" s="3">
        <v>2</v>
      </c>
      <c r="B6" s="8" t="s">
        <v>41</v>
      </c>
      <c r="C6" s="8" t="s">
        <v>0</v>
      </c>
      <c r="D6" s="3">
        <v>0</v>
      </c>
      <c r="E6" s="3">
        <f>'C1-1单项工程预算汇总表-FY型'!D14</f>
        <v>0</v>
      </c>
      <c r="F6" s="3">
        <f>'C1-1单项工程预算汇总表-FY型'!E14</f>
        <v>0</v>
      </c>
      <c r="G6" s="3">
        <f>'C1-1单项工程预算汇总表-FY型'!F14</f>
        <v>0</v>
      </c>
      <c r="H6" s="3" t="e">
        <f>ROUND(E6/D6,2)</f>
        <v>#DIV/0!</v>
      </c>
    </row>
    <row r="7" ht="30" customHeight="1" spans="1:8">
      <c r="A7" s="3">
        <v>3</v>
      </c>
      <c r="B7" s="8" t="s">
        <v>42</v>
      </c>
      <c r="C7" s="8" t="s">
        <v>0</v>
      </c>
      <c r="D7" s="3">
        <v>4260.5</v>
      </c>
      <c r="E7" s="120">
        <f>'C1-1单项工程预算汇总表-GP型'!D13</f>
        <v>7091388.11604</v>
      </c>
      <c r="F7" s="120">
        <f>'C1-1单项工程预算汇总表-GP型'!E13</f>
        <v>85392.232</v>
      </c>
      <c r="G7" s="120">
        <f>'C1-1单项工程预算汇总表-GP型'!F13</f>
        <v>157972.64</v>
      </c>
      <c r="H7" s="3">
        <f>ROUND(E7/D7,2)</f>
        <v>1664.45</v>
      </c>
    </row>
    <row r="8" ht="30" customHeight="1" spans="1:8">
      <c r="A8" s="3" t="s">
        <v>0</v>
      </c>
      <c r="B8" s="8" t="s">
        <v>0</v>
      </c>
      <c r="C8" s="8" t="s">
        <v>0</v>
      </c>
      <c r="D8" s="18" t="s">
        <v>0</v>
      </c>
      <c r="E8" s="18" t="s">
        <v>0</v>
      </c>
      <c r="F8" s="6"/>
      <c r="G8" s="6"/>
      <c r="H8" s="18" t="s">
        <v>0</v>
      </c>
    </row>
    <row r="9" ht="30" customHeight="1" spans="1:8">
      <c r="A9" s="3" t="s">
        <v>0</v>
      </c>
      <c r="B9" s="8" t="s">
        <v>0</v>
      </c>
      <c r="C9" s="8" t="s">
        <v>0</v>
      </c>
      <c r="D9" s="18" t="s">
        <v>0</v>
      </c>
      <c r="E9" s="18" t="s">
        <v>0</v>
      </c>
      <c r="F9" s="6"/>
      <c r="G9" s="6"/>
      <c r="H9" s="18" t="s">
        <v>0</v>
      </c>
    </row>
    <row r="10" ht="30" customHeight="1" spans="1:8">
      <c r="A10" s="3" t="s">
        <v>0</v>
      </c>
      <c r="B10" s="8" t="s">
        <v>0</v>
      </c>
      <c r="C10" s="8" t="s">
        <v>0</v>
      </c>
      <c r="D10" s="18" t="s">
        <v>0</v>
      </c>
      <c r="E10" s="18" t="s">
        <v>0</v>
      </c>
      <c r="F10" s="6"/>
      <c r="G10" s="6"/>
      <c r="H10" s="18" t="s">
        <v>0</v>
      </c>
    </row>
    <row r="11" ht="30" customHeight="1" spans="1:8">
      <c r="A11" s="3" t="s">
        <v>0</v>
      </c>
      <c r="B11" s="8" t="s">
        <v>0</v>
      </c>
      <c r="C11" s="8" t="s">
        <v>0</v>
      </c>
      <c r="D11" s="18" t="s">
        <v>0</v>
      </c>
      <c r="E11" s="18" t="s">
        <v>0</v>
      </c>
      <c r="F11" s="6"/>
      <c r="G11" s="6"/>
      <c r="H11" s="18" t="s">
        <v>0</v>
      </c>
    </row>
    <row r="12" ht="30" customHeight="1" spans="1:8">
      <c r="A12" s="3" t="s">
        <v>0</v>
      </c>
      <c r="B12" s="8" t="s">
        <v>0</v>
      </c>
      <c r="C12" s="8" t="s">
        <v>0</v>
      </c>
      <c r="D12" s="18" t="s">
        <v>0</v>
      </c>
      <c r="E12" s="18" t="s">
        <v>0</v>
      </c>
      <c r="F12" s="6"/>
      <c r="G12" s="6"/>
      <c r="H12" s="18" t="s">
        <v>0</v>
      </c>
    </row>
    <row r="13" ht="30" customHeight="1" spans="1:8">
      <c r="A13" s="3" t="s">
        <v>0</v>
      </c>
      <c r="B13" s="8" t="s">
        <v>0</v>
      </c>
      <c r="C13" s="8" t="s">
        <v>0</v>
      </c>
      <c r="D13" s="18" t="s">
        <v>0</v>
      </c>
      <c r="E13" s="18" t="s">
        <v>0</v>
      </c>
      <c r="F13" s="6"/>
      <c r="G13" s="6"/>
      <c r="H13" s="18" t="s">
        <v>0</v>
      </c>
    </row>
    <row r="14" ht="30" customHeight="1" spans="1:8">
      <c r="A14" s="3" t="s">
        <v>0</v>
      </c>
      <c r="B14" s="8" t="s">
        <v>0</v>
      </c>
      <c r="C14" s="8" t="s">
        <v>0</v>
      </c>
      <c r="D14" s="18" t="s">
        <v>0</v>
      </c>
      <c r="E14" s="18" t="s">
        <v>0</v>
      </c>
      <c r="F14" s="6"/>
      <c r="G14" s="6"/>
      <c r="H14" s="18" t="s">
        <v>0</v>
      </c>
    </row>
    <row r="15" ht="30" customHeight="1" spans="1:8">
      <c r="A15" s="3" t="s">
        <v>43</v>
      </c>
      <c r="B15" s="3" t="s">
        <v>44</v>
      </c>
      <c r="C15" s="3" t="s">
        <v>0</v>
      </c>
      <c r="D15" s="3" t="s">
        <v>43</v>
      </c>
      <c r="E15" s="3">
        <f>SUM(E5:E7)</f>
        <v>7520474.88404</v>
      </c>
      <c r="F15" s="3">
        <f t="shared" ref="F15:G15" si="0">SUM(F5:F7)</f>
        <v>90559.1585</v>
      </c>
      <c r="G15" s="3">
        <f t="shared" si="0"/>
        <v>167625.61</v>
      </c>
      <c r="H15" s="3" t="s">
        <v>43</v>
      </c>
    </row>
    <row r="16" spans="1:6">
      <c r="A16" s="22"/>
      <c r="B16" s="22"/>
      <c r="C16" s="22"/>
      <c r="D16" s="22"/>
      <c r="E16" s="22"/>
      <c r="F16" s="22"/>
    </row>
    <row r="17" spans="1:8">
      <c r="A17" s="20" t="s">
        <v>29</v>
      </c>
      <c r="B17" s="20"/>
      <c r="C17" s="20"/>
      <c r="D17" s="20"/>
      <c r="E17" s="20"/>
      <c r="F17" s="20"/>
      <c r="G17" s="20"/>
      <c r="H17" s="20"/>
    </row>
  </sheetData>
  <mergeCells count="20">
    <mergeCell ref="A1:H1"/>
    <mergeCell ref="B2:F2"/>
    <mergeCell ref="F3:G3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A17:H17"/>
    <mergeCell ref="A3:A4"/>
    <mergeCell ref="D3:D4"/>
    <mergeCell ref="E3:E4"/>
    <mergeCell ref="H3:H4"/>
    <mergeCell ref="B3:C4"/>
  </mergeCells>
  <pageMargins left="1.02361111111111" right="1.02361111111111" top="0.748031496062992" bottom="0.748031496062992" header="0.31496062992126" footer="0.31496062992126"/>
  <pageSetup paperSize="9" scale="110" orientation="landscape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4"/>
  <sheetViews>
    <sheetView showZeros="0" view="pageBreakPreview" zoomScaleNormal="100" workbookViewId="0">
      <selection activeCell="C61" sqref="C61:I61"/>
    </sheetView>
  </sheetViews>
  <sheetFormatPr defaultColWidth="9" defaultRowHeight="14.4"/>
  <cols>
    <col min="1" max="1" width="7.88888888888889" customWidth="1"/>
    <col min="2" max="2" width="12.6666666666667" customWidth="1"/>
    <col min="3" max="3" width="13.8888888888889" customWidth="1"/>
    <col min="5" max="11" width="12.5555555555556" customWidth="1"/>
  </cols>
  <sheetData>
    <row r="1" ht="24" customHeight="1" spans="1:11">
      <c r="A1" s="36" t="s">
        <v>0</v>
      </c>
      <c r="B1" s="36" t="s">
        <v>0</v>
      </c>
      <c r="C1" s="37" t="s">
        <v>307</v>
      </c>
      <c r="D1" s="37" t="s">
        <v>0</v>
      </c>
      <c r="E1" s="37" t="s">
        <v>0</v>
      </c>
      <c r="F1" s="37" t="s">
        <v>0</v>
      </c>
      <c r="G1" s="37" t="s">
        <v>0</v>
      </c>
      <c r="H1" s="37" t="s">
        <v>0</v>
      </c>
      <c r="I1" s="37" t="s">
        <v>0</v>
      </c>
      <c r="J1" s="20" t="s">
        <v>346</v>
      </c>
      <c r="K1" s="20" t="s">
        <v>0</v>
      </c>
    </row>
    <row r="2" ht="19.95" customHeight="1" spans="1:11">
      <c r="A2" s="36" t="s">
        <v>130</v>
      </c>
      <c r="B2" s="36" t="s">
        <v>0</v>
      </c>
      <c r="C2" s="36" t="s">
        <v>0</v>
      </c>
      <c r="D2" s="36" t="s">
        <v>0</v>
      </c>
      <c r="E2" s="36" t="s">
        <v>0</v>
      </c>
      <c r="F2" s="36" t="s">
        <v>0</v>
      </c>
      <c r="G2" s="36" t="s">
        <v>0</v>
      </c>
      <c r="H2" s="36" t="s">
        <v>0</v>
      </c>
      <c r="I2" s="36" t="s">
        <v>0</v>
      </c>
      <c r="J2" s="36" t="s">
        <v>0</v>
      </c>
      <c r="K2" s="36" t="s">
        <v>0</v>
      </c>
    </row>
    <row r="3" ht="19.95" customHeight="1" spans="1:11">
      <c r="A3" s="20" t="s">
        <v>24</v>
      </c>
      <c r="B3" s="20" t="s">
        <v>0</v>
      </c>
      <c r="C3" s="13" t="s">
        <v>347</v>
      </c>
      <c r="D3" s="13" t="s">
        <v>0</v>
      </c>
      <c r="E3" s="13" t="s">
        <v>0</v>
      </c>
      <c r="F3" s="13" t="s">
        <v>0</v>
      </c>
      <c r="G3" s="13" t="s">
        <v>0</v>
      </c>
      <c r="H3" s="13" t="s">
        <v>0</v>
      </c>
      <c r="I3" s="13" t="s">
        <v>0</v>
      </c>
      <c r="J3" s="13" t="s">
        <v>132</v>
      </c>
      <c r="K3" s="13" t="s">
        <v>0</v>
      </c>
    </row>
    <row r="4" ht="19.95" customHeight="1" spans="1:11">
      <c r="A4" s="20" t="s">
        <v>133</v>
      </c>
      <c r="B4" s="20" t="s">
        <v>0</v>
      </c>
      <c r="C4" s="13" t="s">
        <v>348</v>
      </c>
      <c r="D4" s="13" t="s">
        <v>0</v>
      </c>
      <c r="E4" s="13" t="s">
        <v>0</v>
      </c>
      <c r="F4" s="13" t="s">
        <v>0</v>
      </c>
      <c r="G4" s="13" t="s">
        <v>0</v>
      </c>
      <c r="H4" s="13" t="s">
        <v>0</v>
      </c>
      <c r="I4" s="13" t="s">
        <v>0</v>
      </c>
      <c r="J4" s="13" t="s">
        <v>349</v>
      </c>
      <c r="K4" s="13" t="s">
        <v>0</v>
      </c>
    </row>
    <row r="5" ht="19.95" customHeight="1" spans="1:11">
      <c r="A5" s="20" t="s">
        <v>136</v>
      </c>
      <c r="B5" s="20" t="s">
        <v>0</v>
      </c>
      <c r="C5" s="13" t="s">
        <v>350</v>
      </c>
      <c r="D5" s="13" t="s">
        <v>0</v>
      </c>
      <c r="E5" s="13" t="s">
        <v>0</v>
      </c>
      <c r="F5" s="13" t="s">
        <v>0</v>
      </c>
      <c r="G5" s="13" t="s">
        <v>0</v>
      </c>
      <c r="H5" s="13" t="s">
        <v>0</v>
      </c>
      <c r="I5" s="13" t="s">
        <v>0</v>
      </c>
      <c r="J5" s="13" t="str">
        <f>"综合单价："&amp;$M$17&amp;"元"</f>
        <v>综合单价：0元</v>
      </c>
      <c r="K5" s="13" t="s">
        <v>0</v>
      </c>
    </row>
    <row r="6" ht="19.95" customHeight="1" spans="1:11">
      <c r="A6" s="39" t="s">
        <v>32</v>
      </c>
      <c r="B6" s="39" t="s">
        <v>138</v>
      </c>
      <c r="C6" s="39" t="s">
        <v>139</v>
      </c>
      <c r="D6" s="39" t="s">
        <v>110</v>
      </c>
      <c r="E6" s="39" t="s">
        <v>140</v>
      </c>
      <c r="F6" s="39" t="s">
        <v>141</v>
      </c>
      <c r="G6" s="39" t="s">
        <v>0</v>
      </c>
      <c r="H6" s="39" t="s">
        <v>0</v>
      </c>
      <c r="I6" s="39" t="s">
        <v>0</v>
      </c>
      <c r="J6" s="39" t="s">
        <v>0</v>
      </c>
      <c r="K6" s="39" t="s">
        <v>0</v>
      </c>
    </row>
    <row r="7" ht="19.95" customHeight="1" spans="1:11">
      <c r="A7" s="39" t="s">
        <v>0</v>
      </c>
      <c r="B7" s="39" t="s">
        <v>0</v>
      </c>
      <c r="C7" s="39" t="s">
        <v>0</v>
      </c>
      <c r="D7" s="39" t="s">
        <v>0</v>
      </c>
      <c r="E7" s="39" t="s">
        <v>0</v>
      </c>
      <c r="F7" s="39" t="s">
        <v>115</v>
      </c>
      <c r="G7" s="39" t="s">
        <v>116</v>
      </c>
      <c r="H7" s="39" t="s">
        <v>117</v>
      </c>
      <c r="I7" s="39" t="s">
        <v>118</v>
      </c>
      <c r="J7" s="39" t="s">
        <v>119</v>
      </c>
      <c r="K7" s="39" t="s">
        <v>142</v>
      </c>
    </row>
    <row r="8" ht="19.95" customHeight="1" spans="1:11">
      <c r="A8" s="39" t="s">
        <v>53</v>
      </c>
      <c r="B8" s="39" t="s">
        <v>351</v>
      </c>
      <c r="C8" s="39" t="s">
        <v>352</v>
      </c>
      <c r="D8" s="39" t="s">
        <v>121</v>
      </c>
      <c r="E8" s="39">
        <v>61.6</v>
      </c>
      <c r="F8" s="39">
        <f>'D3-4 分部分项工程量清单综合单价计算表(分页带材料)【现~'!F8</f>
        <v>0</v>
      </c>
      <c r="G8" s="39" t="str">
        <f>'D3-4 分部分项工程量清单综合单价计算表(分页带材料)【现~'!G8</f>
        <v/>
      </c>
      <c r="H8" s="39" t="str">
        <f>'D3-4 分部分项工程量清单综合单价计算表(分页带材料)【现~'!H8</f>
        <v/>
      </c>
      <c r="I8" s="39">
        <f>'D3-4 分部分项工程量清单综合单价计算表(分页带材料)【现~'!I8</f>
        <v>0</v>
      </c>
      <c r="J8" s="39">
        <f>'D3-4 分部分项工程量清单综合单价计算表(分页带材料)【现~'!J8</f>
        <v>0</v>
      </c>
      <c r="K8" s="39">
        <f>'D3-4 分部分项工程量清单综合单价计算表(分页带材料)【现~'!K8</f>
        <v>0</v>
      </c>
    </row>
    <row r="9" ht="19.95" customHeight="1" spans="1:11">
      <c r="A9" s="39" t="s">
        <v>60</v>
      </c>
      <c r="B9" s="39" t="s">
        <v>353</v>
      </c>
      <c r="C9" s="39" t="s">
        <v>146</v>
      </c>
      <c r="D9" s="39" t="s">
        <v>121</v>
      </c>
      <c r="E9" s="39">
        <v>61.6</v>
      </c>
      <c r="F9" s="39">
        <f>'D3-4 分部分项工程量清单综合单价计算表(分页带材料)【现~'!F19</f>
        <v>0</v>
      </c>
      <c r="G9" s="39">
        <f>'D3-4 分部分项工程量清单综合单价计算表(分页带材料)【现~'!G19</f>
        <v>0</v>
      </c>
      <c r="H9" s="39">
        <f>'D3-4 分部分项工程量清单综合单价计算表(分页带材料)【现~'!H19</f>
        <v>0</v>
      </c>
      <c r="I9" s="39">
        <f>'D3-4 分部分项工程量清单综合单价计算表(分页带材料)【现~'!I19</f>
        <v>0</v>
      </c>
      <c r="J9" s="39">
        <f>'D3-4 分部分项工程量清单综合单价计算表(分页带材料)【现~'!J19</f>
        <v>0</v>
      </c>
      <c r="K9" s="39">
        <f>'D3-4 分部分项工程量清单综合单价计算表(分页带材料)【现~'!K19</f>
        <v>0</v>
      </c>
    </row>
    <row r="10" ht="19.95" customHeight="1" spans="1:11">
      <c r="A10" s="39" t="s">
        <v>64</v>
      </c>
      <c r="B10" s="39" t="s">
        <v>354</v>
      </c>
      <c r="C10" s="39" t="s">
        <v>148</v>
      </c>
      <c r="D10" s="39" t="s">
        <v>121</v>
      </c>
      <c r="E10" s="39">
        <v>61.6</v>
      </c>
      <c r="F10" s="39">
        <f>'D3-4 分部分项工程量清单综合单价计算表(分页带材料)【现~'!F26</f>
        <v>0</v>
      </c>
      <c r="G10" s="39">
        <f>'D3-4 分部分项工程量清单综合单价计算表(分页带材料)【现~'!G26</f>
        <v>0</v>
      </c>
      <c r="H10" s="39" t="str">
        <f>'D3-4 分部分项工程量清单综合单价计算表(分页带材料)【现~'!H26</f>
        <v/>
      </c>
      <c r="I10" s="39">
        <f>'D3-4 分部分项工程量清单综合单价计算表(分页带材料)【现~'!I26</f>
        <v>0</v>
      </c>
      <c r="J10" s="39">
        <f>'D3-4 分部分项工程量清单综合单价计算表(分页带材料)【现~'!J26</f>
        <v>0</v>
      </c>
      <c r="K10" s="39">
        <f>'D3-4 分部分项工程量清单综合单价计算表(分页带材料)【现~'!K26</f>
        <v>0</v>
      </c>
    </row>
    <row r="11" ht="19.95" customHeight="1" spans="1:11">
      <c r="A11" s="39" t="s">
        <v>74</v>
      </c>
      <c r="B11" s="39" t="s">
        <v>355</v>
      </c>
      <c r="C11" s="39" t="s">
        <v>150</v>
      </c>
      <c r="D11" s="39" t="s">
        <v>121</v>
      </c>
      <c r="E11" s="39">
        <v>61.6</v>
      </c>
      <c r="F11" s="39">
        <f>'D3-4 分部分项工程量清单综合单价计算表(分页带材料)【现~'!F30</f>
        <v>0</v>
      </c>
      <c r="G11" s="39">
        <f>'D3-4 分部分项工程量清单综合单价计算表(分页带材料)【现~'!G30</f>
        <v>0</v>
      </c>
      <c r="H11" s="39">
        <f>'D3-4 分部分项工程量清单综合单价计算表(分页带材料)【现~'!H30</f>
        <v>0</v>
      </c>
      <c r="I11" s="39">
        <f>'D3-4 分部分项工程量清单综合单价计算表(分页带材料)【现~'!I30</f>
        <v>0</v>
      </c>
      <c r="J11" s="39">
        <f>'D3-4 分部分项工程量清单综合单价计算表(分页带材料)【现~'!J30</f>
        <v>0</v>
      </c>
      <c r="K11" s="39">
        <f>'D3-4 分部分项工程量清单综合单价计算表(分页带材料)【现~'!K30</f>
        <v>0</v>
      </c>
    </row>
    <row r="12" ht="19.95" customHeight="1" spans="1:11">
      <c r="A12" s="39" t="s">
        <v>75</v>
      </c>
      <c r="B12" s="39" t="s">
        <v>356</v>
      </c>
      <c r="C12" s="39" t="s">
        <v>152</v>
      </c>
      <c r="D12" s="39" t="s">
        <v>121</v>
      </c>
      <c r="E12" s="39">
        <v>61.6</v>
      </c>
      <c r="F12" s="39">
        <f>'D3-4 分部分项工程量清单综合单价计算表(分页带材料)【现~'!F35</f>
        <v>0</v>
      </c>
      <c r="G12" s="39">
        <f>'D3-4 分部分项工程量清单综合单价计算表(分页带材料)【现~'!G35</f>
        <v>0</v>
      </c>
      <c r="H12" s="39">
        <f>'D3-4 分部分项工程量清单综合单价计算表(分页带材料)【现~'!H35</f>
        <v>0</v>
      </c>
      <c r="I12" s="39">
        <f>'D3-4 分部分项工程量清单综合单价计算表(分页带材料)【现~'!I35</f>
        <v>0</v>
      </c>
      <c r="J12" s="39">
        <f>'D3-4 分部分项工程量清单综合单价计算表(分页带材料)【现~'!J35</f>
        <v>0</v>
      </c>
      <c r="K12" s="39">
        <f>'D3-4 分部分项工程量清单综合单价计算表(分页带材料)【现~'!K35</f>
        <v>0</v>
      </c>
    </row>
    <row r="13" ht="19.95" customHeight="1" spans="1:11">
      <c r="A13" s="39" t="s">
        <v>77</v>
      </c>
      <c r="B13" s="39" t="s">
        <v>357</v>
      </c>
      <c r="C13" s="39" t="s">
        <v>154</v>
      </c>
      <c r="D13" s="39" t="s">
        <v>121</v>
      </c>
      <c r="E13" s="39">
        <v>61.6</v>
      </c>
      <c r="F13" s="39">
        <f>'D3-4 分部分项工程量清单综合单价计算表(分页带材料)【现~'!F39</f>
        <v>0</v>
      </c>
      <c r="G13" s="39">
        <f>'D3-4 分部分项工程量清单综合单价计算表(分页带材料)【现~'!G39</f>
        <v>0</v>
      </c>
      <c r="H13" s="39">
        <f>'D3-4 分部分项工程量清单综合单价计算表(分页带材料)【现~'!H39</f>
        <v>0</v>
      </c>
      <c r="I13" s="39">
        <f>'D3-4 分部分项工程量清单综合单价计算表(分页带材料)【现~'!I39</f>
        <v>0</v>
      </c>
      <c r="J13" s="39">
        <f>'D3-4 分部分项工程量清单综合单价计算表(分页带材料)【现~'!J39</f>
        <v>0</v>
      </c>
      <c r="K13" s="39">
        <f>'D3-4 分部分项工程量清单综合单价计算表(分页带材料)【现~'!K39</f>
        <v>0</v>
      </c>
    </row>
    <row r="14" ht="19.95" customHeight="1" spans="1:11">
      <c r="A14" s="39" t="s">
        <v>81</v>
      </c>
      <c r="B14" s="39" t="s">
        <v>358</v>
      </c>
      <c r="C14" s="39" t="s">
        <v>156</v>
      </c>
      <c r="D14" s="39" t="s">
        <v>121</v>
      </c>
      <c r="E14" s="39">
        <v>61.6</v>
      </c>
      <c r="F14" s="39">
        <f>'D3-4 分部分项工程量清单综合单价计算表(分页带材料)【现~'!F42</f>
        <v>0</v>
      </c>
      <c r="G14" s="39">
        <f>'D3-4 分部分项工程量清单综合单价计算表(分页带材料)【现~'!G42</f>
        <v>0</v>
      </c>
      <c r="H14" s="39">
        <f>'D3-4 分部分项工程量清单综合单价计算表(分页带材料)【现~'!H42</f>
        <v>0</v>
      </c>
      <c r="I14" s="39">
        <f>'D3-4 分部分项工程量清单综合单价计算表(分页带材料)【现~'!I42</f>
        <v>0</v>
      </c>
      <c r="J14" s="39">
        <f>'D3-4 分部分项工程量清单综合单价计算表(分页带材料)【现~'!J42</f>
        <v>0</v>
      </c>
      <c r="K14" s="39">
        <f>'D3-4 分部分项工程量清单综合单价计算表(分页带材料)【现~'!K42</f>
        <v>0</v>
      </c>
    </row>
    <row r="15" ht="19.95" customHeight="1" spans="1:11">
      <c r="A15" s="39" t="s">
        <v>157</v>
      </c>
      <c r="B15" s="39" t="s">
        <v>359</v>
      </c>
      <c r="C15" s="39" t="s">
        <v>159</v>
      </c>
      <c r="D15" s="39" t="s">
        <v>121</v>
      </c>
      <c r="E15" s="39">
        <v>61.6</v>
      </c>
      <c r="F15" s="39">
        <f>'D3-4 分部分项工程量清单综合单价计算表(分页带材料)【现~'!F45</f>
        <v>0</v>
      </c>
      <c r="G15" s="39" t="str">
        <f>'D3-4 分部分项工程量清单综合单价计算表(分页带材料)【现~'!G45</f>
        <v/>
      </c>
      <c r="H15" s="39" t="str">
        <f>'D3-4 分部分项工程量清单综合单价计算表(分页带材料)【现~'!H45</f>
        <v/>
      </c>
      <c r="I15" s="39">
        <f>'D3-4 分部分项工程量清单综合单价计算表(分页带材料)【现~'!I45</f>
        <v>0</v>
      </c>
      <c r="J15" s="39">
        <f>'D3-4 分部分项工程量清单综合单价计算表(分页带材料)【现~'!J45</f>
        <v>0</v>
      </c>
      <c r="K15" s="39">
        <f>'D3-4 分部分项工程量清单综合单价计算表(分页带材料)【现~'!K45</f>
        <v>0</v>
      </c>
    </row>
    <row r="16" ht="34" customHeight="1" spans="1:11">
      <c r="A16" s="39" t="s">
        <v>160</v>
      </c>
      <c r="B16" s="39" t="s">
        <v>161</v>
      </c>
      <c r="C16" s="39" t="s">
        <v>162</v>
      </c>
      <c r="D16" s="39" t="s">
        <v>163</v>
      </c>
      <c r="E16" s="39">
        <v>39</v>
      </c>
      <c r="F16" s="39">
        <f>'D3-4 分部分项工程量清单综合单价计算表(分页带材料)【现~'!F48</f>
        <v>0</v>
      </c>
      <c r="G16" s="39" t="str">
        <f>'D3-4 分部分项工程量清单综合单价计算表(分页带材料)【现~'!G48</f>
        <v/>
      </c>
      <c r="H16" s="39">
        <f>'D3-4 分部分项工程量清单综合单价计算表(分页带材料)【现~'!H48</f>
        <v>0</v>
      </c>
      <c r="I16" s="39">
        <f>'D3-4 分部分项工程量清单综合单价计算表(分页带材料)【现~'!I48</f>
        <v>0</v>
      </c>
      <c r="J16" s="39">
        <f>'D3-4 分部分项工程量清单综合单价计算表(分页带材料)【现~'!J48</f>
        <v>0</v>
      </c>
      <c r="K16" s="39">
        <f>'D3-4 分部分项工程量清单综合单价计算表(分页带材料)【现~'!K48</f>
        <v>0</v>
      </c>
    </row>
    <row r="17" ht="19.95" customHeight="1" spans="1:13">
      <c r="A17" s="57" t="s">
        <v>9</v>
      </c>
      <c r="B17" s="57" t="s">
        <v>9</v>
      </c>
      <c r="C17" s="39" t="s">
        <v>164</v>
      </c>
      <c r="D17" s="57"/>
      <c r="E17" s="58"/>
      <c r="F17" s="39">
        <f t="shared" ref="F17:J17" si="0">SUM(F8:F16)</f>
        <v>0</v>
      </c>
      <c r="G17" s="39">
        <f t="shared" si="0"/>
        <v>0</v>
      </c>
      <c r="H17" s="39">
        <f t="shared" si="0"/>
        <v>0</v>
      </c>
      <c r="I17" s="62">
        <f t="shared" si="0"/>
        <v>0</v>
      </c>
      <c r="J17" s="62">
        <f t="shared" si="0"/>
        <v>0</v>
      </c>
      <c r="K17" s="39">
        <f>SUM(F17:J17)</f>
        <v>0</v>
      </c>
      <c r="M17">
        <f>ROUND(K17/E14,2)</f>
        <v>0</v>
      </c>
    </row>
    <row r="18" spans="1:11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</row>
    <row r="19" customHeight="1" spans="1:11">
      <c r="A19" s="13" t="s">
        <v>0</v>
      </c>
      <c r="B19" s="13" t="s">
        <v>0</v>
      </c>
      <c r="C19" s="13" t="s">
        <v>0</v>
      </c>
      <c r="D19" s="13" t="s">
        <v>0</v>
      </c>
      <c r="E19" s="13" t="s">
        <v>0</v>
      </c>
      <c r="F19" s="13" t="s">
        <v>0</v>
      </c>
      <c r="G19" s="20" t="s">
        <v>29</v>
      </c>
      <c r="H19" s="20" t="s">
        <v>0</v>
      </c>
      <c r="I19" s="20" t="s">
        <v>0</v>
      </c>
      <c r="J19" s="20" t="s">
        <v>0</v>
      </c>
      <c r="K19" s="20" t="s">
        <v>0</v>
      </c>
    </row>
    <row r="20" ht="25.8" customHeight="1" spans="1:11">
      <c r="A20" s="36" t="s">
        <v>0</v>
      </c>
      <c r="B20" s="36" t="s">
        <v>0</v>
      </c>
      <c r="C20" s="37" t="s">
        <v>307</v>
      </c>
      <c r="D20" s="37" t="s">
        <v>0</v>
      </c>
      <c r="E20" s="37" t="s">
        <v>0</v>
      </c>
      <c r="F20" s="37" t="s">
        <v>0</v>
      </c>
      <c r="G20" s="37" t="s">
        <v>0</v>
      </c>
      <c r="H20" s="37" t="s">
        <v>0</v>
      </c>
      <c r="I20" s="37" t="s">
        <v>0</v>
      </c>
      <c r="J20" s="43" t="s">
        <v>360</v>
      </c>
      <c r="K20" s="43" t="s">
        <v>0</v>
      </c>
    </row>
    <row r="21" ht="19.95" customHeight="1" spans="1:11">
      <c r="A21" s="36" t="s">
        <v>130</v>
      </c>
      <c r="B21" s="36" t="s">
        <v>0</v>
      </c>
      <c r="C21" s="36" t="s">
        <v>0</v>
      </c>
      <c r="D21" s="36" t="s">
        <v>0</v>
      </c>
      <c r="E21" s="36" t="s">
        <v>0</v>
      </c>
      <c r="F21" s="36" t="s">
        <v>0</v>
      </c>
      <c r="G21" s="36" t="s">
        <v>0</v>
      </c>
      <c r="H21" s="36" t="s">
        <v>0</v>
      </c>
      <c r="I21" s="36" t="s">
        <v>0</v>
      </c>
      <c r="J21" s="36" t="s">
        <v>0</v>
      </c>
      <c r="K21" s="36" t="s">
        <v>0</v>
      </c>
    </row>
    <row r="22" ht="19.95" customHeight="1" spans="1:11">
      <c r="A22" s="20" t="s">
        <v>24</v>
      </c>
      <c r="B22" s="20" t="s">
        <v>0</v>
      </c>
      <c r="C22" s="13" t="s">
        <v>347</v>
      </c>
      <c r="D22" s="13" t="s">
        <v>0</v>
      </c>
      <c r="E22" s="13" t="s">
        <v>0</v>
      </c>
      <c r="F22" s="13" t="s">
        <v>0</v>
      </c>
      <c r="G22" s="13" t="s">
        <v>0</v>
      </c>
      <c r="H22" s="13" t="s">
        <v>0</v>
      </c>
      <c r="I22" s="13" t="s">
        <v>0</v>
      </c>
      <c r="J22" s="13" t="s">
        <v>132</v>
      </c>
      <c r="K22" s="13" t="s">
        <v>0</v>
      </c>
    </row>
    <row r="23" ht="19.95" customHeight="1" spans="1:11">
      <c r="A23" s="20" t="s">
        <v>133</v>
      </c>
      <c r="B23" s="20" t="s">
        <v>0</v>
      </c>
      <c r="C23" s="13" t="s">
        <v>361</v>
      </c>
      <c r="D23" s="13" t="s">
        <v>0</v>
      </c>
      <c r="E23" s="13" t="s">
        <v>0</v>
      </c>
      <c r="F23" s="13" t="s">
        <v>0</v>
      </c>
      <c r="G23" s="13" t="s">
        <v>0</v>
      </c>
      <c r="H23" s="13" t="s">
        <v>0</v>
      </c>
      <c r="I23" s="13" t="s">
        <v>0</v>
      </c>
      <c r="J23" s="13" t="s">
        <v>362</v>
      </c>
      <c r="K23" s="13" t="s">
        <v>0</v>
      </c>
    </row>
    <row r="24" ht="19.95" customHeight="1" spans="1:11">
      <c r="A24" s="20" t="s">
        <v>136</v>
      </c>
      <c r="B24" s="20" t="s">
        <v>0</v>
      </c>
      <c r="C24" s="13" t="s">
        <v>363</v>
      </c>
      <c r="D24" s="13" t="s">
        <v>0</v>
      </c>
      <c r="E24" s="13" t="s">
        <v>0</v>
      </c>
      <c r="F24" s="13" t="s">
        <v>0</v>
      </c>
      <c r="G24" s="13" t="s">
        <v>0</v>
      </c>
      <c r="H24" s="13" t="s">
        <v>0</v>
      </c>
      <c r="I24" s="13" t="s">
        <v>0</v>
      </c>
      <c r="J24" s="13" t="str">
        <f>"综合单价："&amp;$M$36&amp;"元"</f>
        <v>综合单价：0元</v>
      </c>
      <c r="K24" s="13" t="s">
        <v>0</v>
      </c>
    </row>
    <row r="25" ht="19.95" customHeight="1" spans="1:11">
      <c r="A25" s="39" t="s">
        <v>32</v>
      </c>
      <c r="B25" s="39" t="s">
        <v>138</v>
      </c>
      <c r="C25" s="39" t="s">
        <v>139</v>
      </c>
      <c r="D25" s="39" t="s">
        <v>110</v>
      </c>
      <c r="E25" s="39" t="s">
        <v>140</v>
      </c>
      <c r="F25" s="39" t="s">
        <v>141</v>
      </c>
      <c r="G25" s="39" t="s">
        <v>0</v>
      </c>
      <c r="H25" s="39" t="s">
        <v>0</v>
      </c>
      <c r="I25" s="39" t="s">
        <v>0</v>
      </c>
      <c r="J25" s="39" t="s">
        <v>0</v>
      </c>
      <c r="K25" s="39" t="s">
        <v>0</v>
      </c>
    </row>
    <row r="26" ht="19.95" customHeight="1" spans="1:11">
      <c r="A26" s="59" t="s">
        <v>0</v>
      </c>
      <c r="B26" s="59" t="s">
        <v>0</v>
      </c>
      <c r="C26" s="59" t="s">
        <v>0</v>
      </c>
      <c r="D26" s="59" t="s">
        <v>0</v>
      </c>
      <c r="E26" s="59" t="s">
        <v>0</v>
      </c>
      <c r="F26" s="60" t="s">
        <v>115</v>
      </c>
      <c r="G26" s="60" t="s">
        <v>116</v>
      </c>
      <c r="H26" s="60" t="s">
        <v>117</v>
      </c>
      <c r="I26" s="60" t="s">
        <v>118</v>
      </c>
      <c r="J26" s="60" t="s">
        <v>119</v>
      </c>
      <c r="K26" s="60" t="s">
        <v>142</v>
      </c>
    </row>
    <row r="27" ht="19.95" customHeight="1" spans="1:11">
      <c r="A27" s="39" t="s">
        <v>53</v>
      </c>
      <c r="B27" s="39" t="s">
        <v>364</v>
      </c>
      <c r="C27" s="39" t="s">
        <v>352</v>
      </c>
      <c r="D27" s="39" t="s">
        <v>121</v>
      </c>
      <c r="E27" s="39">
        <v>870.6</v>
      </c>
      <c r="F27" s="39">
        <f>'D3-4 分部分项工程量清单综合单价计算表(分页带材料)【现~'!F64</f>
        <v>0</v>
      </c>
      <c r="G27" s="39" t="str">
        <f>'D3-4 分部分项工程量清单综合单价计算表(分页带材料)【现~'!G64</f>
        <v/>
      </c>
      <c r="H27" s="39" t="str">
        <f>'D3-4 分部分项工程量清单综合单价计算表(分页带材料)【现~'!H64</f>
        <v/>
      </c>
      <c r="I27" s="39">
        <f>'D3-4 分部分项工程量清单综合单价计算表(分页带材料)【现~'!I64</f>
        <v>0</v>
      </c>
      <c r="J27" s="39">
        <f>'D3-4 分部分项工程量清单综合单价计算表(分页带材料)【现~'!J64</f>
        <v>0</v>
      </c>
      <c r="K27" s="39">
        <f>'D3-4 分部分项工程量清单综合单价计算表(分页带材料)【现~'!K64</f>
        <v>0</v>
      </c>
    </row>
    <row r="28" ht="19.95" customHeight="1" spans="1:11">
      <c r="A28" s="39" t="s">
        <v>60</v>
      </c>
      <c r="B28" s="39" t="s">
        <v>365</v>
      </c>
      <c r="C28" s="39" t="s">
        <v>146</v>
      </c>
      <c r="D28" s="39" t="s">
        <v>121</v>
      </c>
      <c r="E28" s="39">
        <v>870.6</v>
      </c>
      <c r="F28" s="39">
        <f>'D3-4 分部分项工程量清单综合单价计算表(分页带材料)【现~'!F75</f>
        <v>0</v>
      </c>
      <c r="G28" s="39">
        <f>'D3-4 分部分项工程量清单综合单价计算表(分页带材料)【现~'!G75</f>
        <v>0</v>
      </c>
      <c r="H28" s="39">
        <f>'D3-4 分部分项工程量清单综合单价计算表(分页带材料)【现~'!H75</f>
        <v>0</v>
      </c>
      <c r="I28" s="39">
        <f>'D3-4 分部分项工程量清单综合单价计算表(分页带材料)【现~'!I75</f>
        <v>0</v>
      </c>
      <c r="J28" s="39">
        <f>'D3-4 分部分项工程量清单综合单价计算表(分页带材料)【现~'!J75</f>
        <v>0</v>
      </c>
      <c r="K28" s="39">
        <f>'D3-4 分部分项工程量清单综合单价计算表(分页带材料)【现~'!K75</f>
        <v>0</v>
      </c>
    </row>
    <row r="29" ht="19.95" customHeight="1" spans="1:11">
      <c r="A29" s="39" t="s">
        <v>64</v>
      </c>
      <c r="B29" s="39" t="s">
        <v>366</v>
      </c>
      <c r="C29" s="39" t="s">
        <v>148</v>
      </c>
      <c r="D29" s="39" t="s">
        <v>121</v>
      </c>
      <c r="E29" s="39">
        <v>870.6</v>
      </c>
      <c r="F29" s="39">
        <f>'D3-4 分部分项工程量清单综合单价计算表(分页带材料)【现~'!F82</f>
        <v>0</v>
      </c>
      <c r="G29" s="39">
        <f>'D3-4 分部分项工程量清单综合单价计算表(分页带材料)【现~'!G82</f>
        <v>0</v>
      </c>
      <c r="H29" s="39" t="str">
        <f>'D3-4 分部分项工程量清单综合单价计算表(分页带材料)【现~'!H82</f>
        <v/>
      </c>
      <c r="I29" s="39">
        <f>'D3-4 分部分项工程量清单综合单价计算表(分页带材料)【现~'!I82</f>
        <v>0</v>
      </c>
      <c r="J29" s="39">
        <f>'D3-4 分部分项工程量清单综合单价计算表(分页带材料)【现~'!J82</f>
        <v>0</v>
      </c>
      <c r="K29" s="39">
        <f>'D3-4 分部分项工程量清单综合单价计算表(分页带材料)【现~'!K82</f>
        <v>0</v>
      </c>
    </row>
    <row r="30" ht="19.95" customHeight="1" spans="1:11">
      <c r="A30" s="39" t="s">
        <v>74</v>
      </c>
      <c r="B30" s="39" t="s">
        <v>367</v>
      </c>
      <c r="C30" s="39" t="s">
        <v>150</v>
      </c>
      <c r="D30" s="39" t="s">
        <v>121</v>
      </c>
      <c r="E30" s="39">
        <v>870.6</v>
      </c>
      <c r="F30" s="39">
        <f>'D3-4 分部分项工程量清单综合单价计算表(分页带材料)【现~'!F86</f>
        <v>0</v>
      </c>
      <c r="G30" s="39">
        <f>'D3-4 分部分项工程量清单综合单价计算表(分页带材料)【现~'!G86</f>
        <v>0</v>
      </c>
      <c r="H30" s="39">
        <f>'D3-4 分部分项工程量清单综合单价计算表(分页带材料)【现~'!H86</f>
        <v>0</v>
      </c>
      <c r="I30" s="39">
        <f>'D3-4 分部分项工程量清单综合单价计算表(分页带材料)【现~'!I86</f>
        <v>0</v>
      </c>
      <c r="J30" s="39">
        <f>'D3-4 分部分项工程量清单综合单价计算表(分页带材料)【现~'!J86</f>
        <v>0</v>
      </c>
      <c r="K30" s="39">
        <f>'D3-4 分部分项工程量清单综合单价计算表(分页带材料)【现~'!K86</f>
        <v>0</v>
      </c>
    </row>
    <row r="31" ht="19.95" customHeight="1" spans="1:11">
      <c r="A31" s="39" t="s">
        <v>75</v>
      </c>
      <c r="B31" s="39" t="s">
        <v>368</v>
      </c>
      <c r="C31" s="39" t="s">
        <v>152</v>
      </c>
      <c r="D31" s="39" t="s">
        <v>121</v>
      </c>
      <c r="E31" s="39">
        <v>870.6</v>
      </c>
      <c r="F31" s="39">
        <f>'D3-4 分部分项工程量清单综合单价计算表(分页带材料)【现~'!F91</f>
        <v>0</v>
      </c>
      <c r="G31" s="39">
        <f>'D3-4 分部分项工程量清单综合单价计算表(分页带材料)【现~'!G91</f>
        <v>0</v>
      </c>
      <c r="H31" s="39">
        <f>'D3-4 分部分项工程量清单综合单价计算表(分页带材料)【现~'!H91</f>
        <v>0</v>
      </c>
      <c r="I31" s="39">
        <f>'D3-4 分部分项工程量清单综合单价计算表(分页带材料)【现~'!I91</f>
        <v>0</v>
      </c>
      <c r="J31" s="39">
        <f>'D3-4 分部分项工程量清单综合单价计算表(分页带材料)【现~'!J91</f>
        <v>0</v>
      </c>
      <c r="K31" s="39">
        <f>'D3-4 分部分项工程量清单综合单价计算表(分页带材料)【现~'!K91</f>
        <v>0</v>
      </c>
    </row>
    <row r="32" ht="19.95" customHeight="1" spans="1:11">
      <c r="A32" s="39" t="s">
        <v>77</v>
      </c>
      <c r="B32" s="39" t="s">
        <v>369</v>
      </c>
      <c r="C32" s="39" t="s">
        <v>154</v>
      </c>
      <c r="D32" s="39" t="s">
        <v>121</v>
      </c>
      <c r="E32" s="39">
        <v>870.6</v>
      </c>
      <c r="F32" s="39">
        <f>'D3-4 分部分项工程量清单综合单价计算表(分页带材料)【现~'!F95</f>
        <v>0</v>
      </c>
      <c r="G32" s="39">
        <f>'D3-4 分部分项工程量清单综合单价计算表(分页带材料)【现~'!G95</f>
        <v>0</v>
      </c>
      <c r="H32" s="39">
        <f>'D3-4 分部分项工程量清单综合单价计算表(分页带材料)【现~'!H95</f>
        <v>0</v>
      </c>
      <c r="I32" s="39">
        <f>'D3-4 分部分项工程量清单综合单价计算表(分页带材料)【现~'!I95</f>
        <v>0</v>
      </c>
      <c r="J32" s="39">
        <f>'D3-4 分部分项工程量清单综合单价计算表(分页带材料)【现~'!J95</f>
        <v>0</v>
      </c>
      <c r="K32" s="39">
        <f>'D3-4 分部分项工程量清单综合单价计算表(分页带材料)【现~'!K95</f>
        <v>0</v>
      </c>
    </row>
    <row r="33" ht="19.95" customHeight="1" spans="1:11">
      <c r="A33" s="39" t="s">
        <v>81</v>
      </c>
      <c r="B33" s="39" t="s">
        <v>370</v>
      </c>
      <c r="C33" s="39" t="s">
        <v>156</v>
      </c>
      <c r="D33" s="39" t="s">
        <v>121</v>
      </c>
      <c r="E33" s="39">
        <v>870.6</v>
      </c>
      <c r="F33" s="39">
        <f>'D3-4 分部分项工程量清单综合单价计算表(分页带材料)【现~'!F98</f>
        <v>0</v>
      </c>
      <c r="G33" s="39">
        <f>'D3-4 分部分项工程量清单综合单价计算表(分页带材料)【现~'!G98</f>
        <v>0</v>
      </c>
      <c r="H33" s="39">
        <f>'D3-4 分部分项工程量清单综合单价计算表(分页带材料)【现~'!H98</f>
        <v>0</v>
      </c>
      <c r="I33" s="39">
        <f>'D3-4 分部分项工程量清单综合单价计算表(分页带材料)【现~'!I98</f>
        <v>0</v>
      </c>
      <c r="J33" s="39">
        <f>'D3-4 分部分项工程量清单综合单价计算表(分页带材料)【现~'!J98</f>
        <v>0</v>
      </c>
      <c r="K33" s="39">
        <f>'D3-4 分部分项工程量清单综合单价计算表(分页带材料)【现~'!K98</f>
        <v>0</v>
      </c>
    </row>
    <row r="34" ht="19.95" customHeight="1" spans="1:11">
      <c r="A34" s="39" t="s">
        <v>157</v>
      </c>
      <c r="B34" s="39" t="s">
        <v>371</v>
      </c>
      <c r="C34" s="39" t="s">
        <v>159</v>
      </c>
      <c r="D34" s="39" t="s">
        <v>121</v>
      </c>
      <c r="E34" s="39">
        <v>870.6</v>
      </c>
      <c r="F34" s="39">
        <f>'D3-4 分部分项工程量清单综合单价计算表(分页带材料)【现~'!F101</f>
        <v>0</v>
      </c>
      <c r="G34" s="39" t="str">
        <f>'D3-4 分部分项工程量清单综合单价计算表(分页带材料)【现~'!G101</f>
        <v/>
      </c>
      <c r="H34" s="39" t="str">
        <f>'D3-4 分部分项工程量清单综合单价计算表(分页带材料)【现~'!H101</f>
        <v/>
      </c>
      <c r="I34" s="39">
        <f>'D3-4 分部分项工程量清单综合单价计算表(分页带材料)【现~'!I101</f>
        <v>0</v>
      </c>
      <c r="J34" s="39">
        <f>'D3-4 分部分项工程量清单综合单价计算表(分页带材料)【现~'!J101</f>
        <v>0</v>
      </c>
      <c r="K34" s="39">
        <f>'D3-4 分部分项工程量清单综合单价计算表(分页带材料)【现~'!K101</f>
        <v>0</v>
      </c>
    </row>
    <row r="35" ht="32" customHeight="1" spans="1:11">
      <c r="A35" s="39" t="s">
        <v>160</v>
      </c>
      <c r="B35" s="39" t="s">
        <v>161</v>
      </c>
      <c r="C35" s="39" t="s">
        <v>162</v>
      </c>
      <c r="D35" s="39" t="s">
        <v>163</v>
      </c>
      <c r="E35" s="39">
        <v>440</v>
      </c>
      <c r="F35" s="39">
        <f>'D3-4 分部分项工程量清单综合单价计算表(分页带材料)【现~'!F104</f>
        <v>0</v>
      </c>
      <c r="G35" s="39" t="str">
        <f>'D3-4 分部分项工程量清单综合单价计算表(分页带材料)【现~'!G104</f>
        <v/>
      </c>
      <c r="H35" s="39">
        <f>'D3-4 分部分项工程量清单综合单价计算表(分页带材料)【现~'!H104</f>
        <v>0</v>
      </c>
      <c r="I35" s="39">
        <f>'D3-4 分部分项工程量清单综合单价计算表(分页带材料)【现~'!I104</f>
        <v>0</v>
      </c>
      <c r="J35" s="39">
        <f>'D3-4 分部分项工程量清单综合单价计算表(分页带材料)【现~'!J104</f>
        <v>0</v>
      </c>
      <c r="K35" s="39">
        <f>'D3-4 分部分项工程量清单综合单价计算表(分页带材料)【现~'!K104</f>
        <v>0</v>
      </c>
    </row>
    <row r="36" ht="19.95" customHeight="1" spans="1:13">
      <c r="A36" s="57" t="s">
        <v>9</v>
      </c>
      <c r="B36" s="57" t="s">
        <v>9</v>
      </c>
      <c r="C36" s="39" t="s">
        <v>164</v>
      </c>
      <c r="D36" s="39"/>
      <c r="E36" s="61"/>
      <c r="F36" s="39">
        <f t="shared" ref="F36:J36" si="1">SUM(F27:F35)</f>
        <v>0</v>
      </c>
      <c r="G36" s="39">
        <f t="shared" si="1"/>
        <v>0</v>
      </c>
      <c r="H36" s="39">
        <f t="shared" si="1"/>
        <v>0</v>
      </c>
      <c r="I36" s="62">
        <f t="shared" si="1"/>
        <v>0</v>
      </c>
      <c r="J36" s="62">
        <f t="shared" si="1"/>
        <v>0</v>
      </c>
      <c r="K36" s="39">
        <f>SUM(F36:J36)</f>
        <v>0</v>
      </c>
      <c r="M36">
        <f>ROUND(K36/E33,2)</f>
        <v>0</v>
      </c>
    </row>
    <row r="37" spans="1:11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1">
      <c r="A38" s="13" t="s">
        <v>0</v>
      </c>
      <c r="B38" s="13" t="s">
        <v>0</v>
      </c>
      <c r="C38" s="13" t="s">
        <v>0</v>
      </c>
      <c r="D38" s="13" t="s">
        <v>0</v>
      </c>
      <c r="E38" s="13" t="s">
        <v>0</v>
      </c>
      <c r="F38" s="13" t="s">
        <v>0</v>
      </c>
      <c r="G38" s="20" t="s">
        <v>29</v>
      </c>
      <c r="H38" s="20" t="s">
        <v>0</v>
      </c>
      <c r="I38" s="20" t="s">
        <v>0</v>
      </c>
      <c r="J38" s="20" t="s">
        <v>0</v>
      </c>
      <c r="K38" s="20" t="s">
        <v>0</v>
      </c>
    </row>
    <row r="39" ht="18" customHeight="1" spans="1:11">
      <c r="A39" s="36" t="s">
        <v>0</v>
      </c>
      <c r="B39" s="36" t="s">
        <v>0</v>
      </c>
      <c r="C39" s="37" t="s">
        <v>307</v>
      </c>
      <c r="D39" s="37" t="s">
        <v>0</v>
      </c>
      <c r="E39" s="37" t="s">
        <v>0</v>
      </c>
      <c r="F39" s="37" t="s">
        <v>0</v>
      </c>
      <c r="G39" s="37" t="s">
        <v>0</v>
      </c>
      <c r="H39" s="37" t="s">
        <v>0</v>
      </c>
      <c r="I39" s="37" t="s">
        <v>0</v>
      </c>
      <c r="J39" s="43" t="s">
        <v>372</v>
      </c>
      <c r="K39" s="43" t="s">
        <v>0</v>
      </c>
    </row>
    <row r="40" spans="1:11">
      <c r="A40" s="36" t="s">
        <v>130</v>
      </c>
      <c r="B40" s="36" t="s">
        <v>0</v>
      </c>
      <c r="C40" s="36" t="s">
        <v>0</v>
      </c>
      <c r="D40" s="36" t="s">
        <v>0</v>
      </c>
      <c r="E40" s="36" t="s">
        <v>0</v>
      </c>
      <c r="F40" s="36" t="s">
        <v>0</v>
      </c>
      <c r="G40" s="36" t="s">
        <v>0</v>
      </c>
      <c r="H40" s="36" t="s">
        <v>0</v>
      </c>
      <c r="I40" s="36" t="s">
        <v>0</v>
      </c>
      <c r="J40" s="36" t="s">
        <v>0</v>
      </c>
      <c r="K40" s="36" t="s">
        <v>0</v>
      </c>
    </row>
    <row r="41" ht="19.95" customHeight="1" spans="1:11">
      <c r="A41" s="20" t="s">
        <v>24</v>
      </c>
      <c r="B41" s="20" t="s">
        <v>0</v>
      </c>
      <c r="C41" s="13" t="s">
        <v>347</v>
      </c>
      <c r="D41" s="13" t="s">
        <v>0</v>
      </c>
      <c r="E41" s="13" t="s">
        <v>0</v>
      </c>
      <c r="F41" s="13" t="s">
        <v>0</v>
      </c>
      <c r="G41" s="13" t="s">
        <v>0</v>
      </c>
      <c r="H41" s="13" t="s">
        <v>0</v>
      </c>
      <c r="I41" s="13" t="s">
        <v>0</v>
      </c>
      <c r="J41" s="13" t="s">
        <v>132</v>
      </c>
      <c r="K41" s="13" t="s">
        <v>0</v>
      </c>
    </row>
    <row r="42" ht="19.95" customHeight="1" spans="1:11">
      <c r="A42" s="20" t="s">
        <v>133</v>
      </c>
      <c r="B42" s="20" t="s">
        <v>0</v>
      </c>
      <c r="C42" s="13" t="s">
        <v>373</v>
      </c>
      <c r="D42" s="13" t="s">
        <v>0</v>
      </c>
      <c r="E42" s="13" t="s">
        <v>0</v>
      </c>
      <c r="F42" s="13" t="s">
        <v>0</v>
      </c>
      <c r="G42" s="13" t="s">
        <v>0</v>
      </c>
      <c r="H42" s="13" t="s">
        <v>0</v>
      </c>
      <c r="I42" s="13" t="s">
        <v>0</v>
      </c>
      <c r="J42" s="13" t="s">
        <v>374</v>
      </c>
      <c r="K42" s="13" t="s">
        <v>0</v>
      </c>
    </row>
    <row r="43" ht="19.95" customHeight="1" spans="1:11">
      <c r="A43" s="20" t="s">
        <v>136</v>
      </c>
      <c r="B43" s="20" t="s">
        <v>0</v>
      </c>
      <c r="C43" s="13" t="s">
        <v>375</v>
      </c>
      <c r="D43" s="13" t="s">
        <v>0</v>
      </c>
      <c r="E43" s="13" t="s">
        <v>0</v>
      </c>
      <c r="F43" s="13" t="s">
        <v>0</v>
      </c>
      <c r="G43" s="13" t="s">
        <v>0</v>
      </c>
      <c r="H43" s="13" t="s">
        <v>0</v>
      </c>
      <c r="I43" s="13" t="s">
        <v>0</v>
      </c>
      <c r="J43" s="13" t="str">
        <f>"综合单价："&amp;$M$55&amp;"元"</f>
        <v>综合单价：453.91元</v>
      </c>
      <c r="K43" s="13" t="s">
        <v>0</v>
      </c>
    </row>
    <row r="44" ht="19.95" customHeight="1" spans="1:11">
      <c r="A44" s="39" t="s">
        <v>32</v>
      </c>
      <c r="B44" s="39" t="s">
        <v>138</v>
      </c>
      <c r="C44" s="39" t="s">
        <v>139</v>
      </c>
      <c r="D44" s="39" t="s">
        <v>110</v>
      </c>
      <c r="E44" s="39" t="s">
        <v>140</v>
      </c>
      <c r="F44" s="39" t="s">
        <v>141</v>
      </c>
      <c r="G44" s="39" t="s">
        <v>0</v>
      </c>
      <c r="H44" s="39" t="s">
        <v>0</v>
      </c>
      <c r="I44" s="39" t="s">
        <v>0</v>
      </c>
      <c r="J44" s="39" t="s">
        <v>0</v>
      </c>
      <c r="K44" s="39" t="s">
        <v>0</v>
      </c>
    </row>
    <row r="45" ht="19.95" customHeight="1" spans="1:11">
      <c r="A45" s="39" t="s">
        <v>0</v>
      </c>
      <c r="B45" s="39" t="s">
        <v>0</v>
      </c>
      <c r="C45" s="39" t="s">
        <v>0</v>
      </c>
      <c r="D45" s="39" t="s">
        <v>0</v>
      </c>
      <c r="E45" s="39" t="s">
        <v>0</v>
      </c>
      <c r="F45" s="39" t="s">
        <v>115</v>
      </c>
      <c r="G45" s="39" t="s">
        <v>116</v>
      </c>
      <c r="H45" s="39" t="s">
        <v>117</v>
      </c>
      <c r="I45" s="39" t="s">
        <v>118</v>
      </c>
      <c r="J45" s="39" t="s">
        <v>119</v>
      </c>
      <c r="K45" s="39" t="s">
        <v>142</v>
      </c>
    </row>
    <row r="46" ht="19.95" customHeight="1" spans="1:11">
      <c r="A46" s="39" t="s">
        <v>53</v>
      </c>
      <c r="B46" s="39" t="s">
        <v>376</v>
      </c>
      <c r="C46" s="39" t="s">
        <v>352</v>
      </c>
      <c r="D46" s="39" t="s">
        <v>121</v>
      </c>
      <c r="E46" s="39">
        <v>13796.8</v>
      </c>
      <c r="F46" s="39">
        <f>'D3-4 分部分项工程量清单综合单价计算表(分页带材料)【现~'!F120</f>
        <v>0</v>
      </c>
      <c r="G46" s="39" t="str">
        <f>'D3-4 分部分项工程量清单综合单价计算表(分页带材料)【现~'!G120</f>
        <v/>
      </c>
      <c r="H46" s="39" t="str">
        <f>'D3-4 分部分项工程量清单综合单价计算表(分页带材料)【现~'!H120</f>
        <v/>
      </c>
      <c r="I46" s="39">
        <f>'D3-4 分部分项工程量清单综合单价计算表(分页带材料)【现~'!I120</f>
        <v>0</v>
      </c>
      <c r="J46" s="39">
        <f>'D3-4 分部分项工程量清单综合单价计算表(分页带材料)【现~'!J120</f>
        <v>0</v>
      </c>
      <c r="K46" s="39">
        <f>'D3-4 分部分项工程量清单综合单价计算表(分页带材料)【现~'!K120</f>
        <v>0</v>
      </c>
    </row>
    <row r="47" ht="19.95" customHeight="1" spans="1:11">
      <c r="A47" s="39" t="s">
        <v>60</v>
      </c>
      <c r="B47" s="39" t="s">
        <v>377</v>
      </c>
      <c r="C47" s="39" t="s">
        <v>146</v>
      </c>
      <c r="D47" s="39" t="s">
        <v>121</v>
      </c>
      <c r="E47" s="39">
        <v>13796.8</v>
      </c>
      <c r="F47" s="39">
        <f>'D3-4 分部分项工程量清单综合单价计算表(分页带材料)【现~'!F131</f>
        <v>1228729.088</v>
      </c>
      <c r="G47" s="39">
        <f>'D3-4 分部分项工程量清单综合单价计算表(分页带材料)【现~'!G131</f>
        <v>530707.221</v>
      </c>
      <c r="H47" s="39">
        <f>'D3-4 分部分项工程量清单综合单价计算表(分页带材料)【现~'!H131</f>
        <v>0</v>
      </c>
      <c r="I47" s="39">
        <f>'D3-4 分部分项工程量清单综合单价计算表(分页带材料)【现~'!I131</f>
        <v>24574.58</v>
      </c>
      <c r="J47" s="39">
        <f>'D3-4 分部分项工程量清单综合单价计算表(分页带材料)【现~'!J131</f>
        <v>61436.45</v>
      </c>
      <c r="K47" s="39">
        <f>'D3-4 分部分项工程量清单综合单价计算表(分页带材料)【现~'!K131</f>
        <v>1845447.339</v>
      </c>
    </row>
    <row r="48" ht="19.95" customHeight="1" spans="1:11">
      <c r="A48" s="39" t="s">
        <v>64</v>
      </c>
      <c r="B48" s="39" t="s">
        <v>378</v>
      </c>
      <c r="C48" s="39" t="s">
        <v>148</v>
      </c>
      <c r="D48" s="39" t="s">
        <v>121</v>
      </c>
      <c r="E48" s="39">
        <v>13796.8</v>
      </c>
      <c r="F48" s="39">
        <f>'D3-4 分部分项工程量清单综合单价计算表(分页带材料)【现~'!F138</f>
        <v>153961.408</v>
      </c>
      <c r="G48" s="39">
        <f>'D3-4 分部分项工程量清单综合单价计算表(分页带材料)【现~'!G138</f>
        <v>514397.07</v>
      </c>
      <c r="H48" s="39" t="str">
        <f>'D3-4 分部分项工程量清单综合单价计算表(分页带材料)【现~'!H138</f>
        <v/>
      </c>
      <c r="I48" s="39">
        <f>'D3-4 分部分项工程量清单综合单价计算表(分页带材料)【现~'!I138</f>
        <v>3079.23</v>
      </c>
      <c r="J48" s="39">
        <f>'D3-4 分部分项工程量清单综合单价计算表(分页带材料)【现~'!J138</f>
        <v>7698.07</v>
      </c>
      <c r="K48" s="39">
        <f>'D3-4 分部分项工程量清单综合单价计算表(分页带材料)【现~'!K138</f>
        <v>679135.778</v>
      </c>
    </row>
    <row r="49" ht="19.95" customHeight="1" spans="1:11">
      <c r="A49" s="39" t="s">
        <v>74</v>
      </c>
      <c r="B49" s="39" t="s">
        <v>379</v>
      </c>
      <c r="C49" s="39" t="s">
        <v>150</v>
      </c>
      <c r="D49" s="39" t="s">
        <v>121</v>
      </c>
      <c r="E49" s="39">
        <v>13796.8</v>
      </c>
      <c r="F49" s="39">
        <f>'D3-4 分部分项工程量清单综合单价计算表(分页带材料)【现~'!F142</f>
        <v>715172.16</v>
      </c>
      <c r="G49" s="39">
        <f>'D3-4 分部分项工程量清单综合单价计算表(分页带材料)【现~'!G142</f>
        <v>0</v>
      </c>
      <c r="H49" s="39">
        <f>'D3-4 分部分项工程量清单综合单价计算表(分页带材料)【现~'!H142</f>
        <v>0</v>
      </c>
      <c r="I49" s="39">
        <f>'D3-4 分部分项工程量清单综合单价计算表(分页带材料)【现~'!I142</f>
        <v>14303.44</v>
      </c>
      <c r="J49" s="39">
        <f>'D3-4 分部分项工程量清单综合单价计算表(分页带材料)【现~'!J142</f>
        <v>35758.61</v>
      </c>
      <c r="K49" s="39">
        <f>'D3-4 分部分项工程量清单综合单价计算表(分页带材料)【现~'!K142</f>
        <v>765234.21</v>
      </c>
    </row>
    <row r="50" ht="19.95" customHeight="1" spans="1:11">
      <c r="A50" s="39" t="s">
        <v>75</v>
      </c>
      <c r="B50" s="39" t="s">
        <v>380</v>
      </c>
      <c r="C50" s="39" t="s">
        <v>152</v>
      </c>
      <c r="D50" s="39" t="s">
        <v>121</v>
      </c>
      <c r="E50" s="39">
        <v>13796.8</v>
      </c>
      <c r="F50" s="39">
        <f>'D3-4 分部分项工程量清单综合单价计算表(分页带材料)【现~'!F147</f>
        <v>48231.424</v>
      </c>
      <c r="G50" s="39">
        <f>'D3-4 分部分项工程量清单综合单价计算表(分页带材料)【现~'!G147</f>
        <v>77530.13004</v>
      </c>
      <c r="H50" s="39">
        <f>'D3-4 分部分项工程量清单综合单价计算表(分页带材料)【现~'!H147</f>
        <v>0</v>
      </c>
      <c r="I50" s="39">
        <f>'D3-4 分部分项工程量清单综合单价计算表(分页带材料)【现~'!I147</f>
        <v>964.63</v>
      </c>
      <c r="J50" s="39">
        <f>'D3-4 分部分项工程量清单综合单价计算表(分页带材料)【现~'!J147</f>
        <v>2411.57</v>
      </c>
      <c r="K50" s="39">
        <f>'D3-4 分部分项工程量清单综合单价计算表(分页带材料)【现~'!K147</f>
        <v>129137.75404</v>
      </c>
    </row>
    <row r="51" ht="19.95" customHeight="1" spans="1:11">
      <c r="A51" s="39" t="s">
        <v>77</v>
      </c>
      <c r="B51" s="39" t="s">
        <v>381</v>
      </c>
      <c r="C51" s="39" t="s">
        <v>154</v>
      </c>
      <c r="D51" s="39" t="s">
        <v>121</v>
      </c>
      <c r="E51" s="39">
        <v>13796.8</v>
      </c>
      <c r="F51" s="39">
        <f>'D3-4 分部分项工程量清单综合单价计算表(分页带材料)【现~'!F151</f>
        <v>461868.416</v>
      </c>
      <c r="G51" s="39">
        <f>'D3-4 分部分项工程量清单综合单价计算表(分页带材料)【现~'!G151</f>
        <v>883134.972</v>
      </c>
      <c r="H51" s="39">
        <f>'D3-4 分部分项工程量清单综合单价计算表(分页带材料)【现~'!H151</f>
        <v>0</v>
      </c>
      <c r="I51" s="39">
        <f>'D3-4 分部分项工程量清单综合单价计算表(分页带材料)【现~'!I151</f>
        <v>9237.37</v>
      </c>
      <c r="J51" s="39">
        <f>'D3-4 分部分项工程量清单综合单价计算表(分页带材料)【现~'!J151</f>
        <v>23093.42</v>
      </c>
      <c r="K51" s="39">
        <f>'D3-4 分部分项工程量清单综合单价计算表(分页带材料)【现~'!K151</f>
        <v>1377334.178</v>
      </c>
    </row>
    <row r="52" ht="19.95" customHeight="1" spans="1:11">
      <c r="A52" s="39" t="s">
        <v>81</v>
      </c>
      <c r="B52" s="39" t="s">
        <v>382</v>
      </c>
      <c r="C52" s="39" t="s">
        <v>156</v>
      </c>
      <c r="D52" s="39" t="s">
        <v>121</v>
      </c>
      <c r="E52" s="39">
        <v>13796.8</v>
      </c>
      <c r="F52" s="39">
        <f>'D3-4 分部分项工程量清单综合单价计算表(分页带材料)【现~'!F154</f>
        <v>352858.88</v>
      </c>
      <c r="G52" s="39">
        <f>'D3-4 分部分项工程量清单综合单价计算表(分页带材料)【现~'!G154</f>
        <v>201849.065</v>
      </c>
      <c r="H52" s="39">
        <f>'D3-4 分部分项工程量清单综合单价计算表(分页带材料)【现~'!H154</f>
        <v>0</v>
      </c>
      <c r="I52" s="39">
        <f>'D3-4 分部分项工程量清单综合单价计算表(分页带材料)【现~'!I154</f>
        <v>7057.18</v>
      </c>
      <c r="J52" s="39">
        <f>'D3-4 分部分项工程量清单综合单价计算表(分页带材料)【现~'!J154</f>
        <v>17642.94</v>
      </c>
      <c r="K52" s="39">
        <f>'D3-4 分部分项工程量清单综合单价计算表(分页带材料)【现~'!K154</f>
        <v>579408.065</v>
      </c>
    </row>
    <row r="53" ht="19.95" customHeight="1" spans="1:11">
      <c r="A53" s="39" t="s">
        <v>157</v>
      </c>
      <c r="B53" s="39" t="s">
        <v>383</v>
      </c>
      <c r="C53" s="39" t="s">
        <v>159</v>
      </c>
      <c r="D53" s="39" t="s">
        <v>121</v>
      </c>
      <c r="E53" s="39">
        <v>13796.8</v>
      </c>
      <c r="F53" s="39">
        <f>'D3-4 分部分项工程量清单综合单价计算表(分页带材料)【现~'!F157</f>
        <v>129519.2</v>
      </c>
      <c r="G53" s="39" t="str">
        <f>'D3-4 分部分项工程量清单综合单价计算表(分页带材料)【现~'!G157</f>
        <v/>
      </c>
      <c r="H53" s="39" t="str">
        <f>'D3-4 分部分项工程量清单综合单价计算表(分页带材料)【现~'!H157</f>
        <v/>
      </c>
      <c r="I53" s="39">
        <f>'D3-4 分部分项工程量清单综合单价计算表(分页带材料)【现~'!I157</f>
        <v>2590.38</v>
      </c>
      <c r="J53" s="39">
        <f>'D3-4 分部分项工程量清单综合单价计算表(分页带材料)【现~'!J157</f>
        <v>6475.96</v>
      </c>
      <c r="K53" s="39">
        <f>'D3-4 分部分项工程量清单综合单价计算表(分页带材料)【现~'!K157</f>
        <v>138585.54</v>
      </c>
    </row>
    <row r="54" ht="34" customHeight="1" spans="1:11">
      <c r="A54" s="39" t="s">
        <v>160</v>
      </c>
      <c r="B54" s="39" t="s">
        <v>161</v>
      </c>
      <c r="C54" s="39" t="s">
        <v>162</v>
      </c>
      <c r="D54" s="39" t="s">
        <v>163</v>
      </c>
      <c r="E54" s="39">
        <v>6251</v>
      </c>
      <c r="F54" s="39">
        <f>'D3-4 分部分项工程量清单综合单价计算表(分页带材料)【现~'!F160</f>
        <v>200756.052</v>
      </c>
      <c r="G54" s="39" t="str">
        <f>'D3-4 分部分项工程量清单综合单价计算表(分页带材料)【现~'!G160</f>
        <v/>
      </c>
      <c r="H54" s="39">
        <f>'D3-4 分部分项工程量清单综合单价计算表(分页带材料)【现~'!H160</f>
        <v>533403.948</v>
      </c>
      <c r="I54" s="39">
        <f>'D3-4 分部分项工程量清单综合单价计算表(分页带材料)【现~'!I160</f>
        <v>4015.12</v>
      </c>
      <c r="J54" s="39">
        <f>'D3-4 分部分项工程量清单综合单价计算表(分页带材料)【现~'!J160</f>
        <v>10037.8</v>
      </c>
      <c r="K54" s="39">
        <f>'D3-4 分部分项工程量清单综合单价计算表(分页带材料)【现~'!K160</f>
        <v>748212.92</v>
      </c>
    </row>
    <row r="55" ht="19.95" customHeight="1" spans="1:13">
      <c r="A55" s="57" t="s">
        <v>9</v>
      </c>
      <c r="B55" s="57" t="s">
        <v>9</v>
      </c>
      <c r="C55" s="39" t="s">
        <v>164</v>
      </c>
      <c r="D55" s="57"/>
      <c r="E55" s="58"/>
      <c r="F55" s="39">
        <f>SUM(F46:F54)</f>
        <v>3291096.628</v>
      </c>
      <c r="G55" s="39">
        <f>SUM(G46:G54)</f>
        <v>2207618.45804</v>
      </c>
      <c r="H55" s="39">
        <f>SUM(H46:H54)</f>
        <v>533403.948</v>
      </c>
      <c r="I55" s="62">
        <f>SUM(I46:I54)</f>
        <v>65821.93</v>
      </c>
      <c r="J55" s="62">
        <f>SUM(J46:J54)</f>
        <v>164554.82</v>
      </c>
      <c r="K55" s="39">
        <f>SUM(F55:J55)</f>
        <v>6262495.78404</v>
      </c>
      <c r="M55">
        <f>ROUND(K55/E53,2)</f>
        <v>453.91</v>
      </c>
    </row>
    <row r="56" spans="1:11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</row>
    <row r="57" spans="1:11">
      <c r="A57" s="13" t="s">
        <v>0</v>
      </c>
      <c r="B57" s="13" t="s">
        <v>0</v>
      </c>
      <c r="C57" s="13" t="s">
        <v>0</v>
      </c>
      <c r="D57" s="13" t="s">
        <v>0</v>
      </c>
      <c r="E57" s="13" t="s">
        <v>0</v>
      </c>
      <c r="F57" s="13" t="s">
        <v>0</v>
      </c>
      <c r="G57" s="20" t="s">
        <v>29</v>
      </c>
      <c r="H57" s="20" t="s">
        <v>0</v>
      </c>
      <c r="I57" s="20" t="s">
        <v>0</v>
      </c>
      <c r="J57" s="20" t="s">
        <v>0</v>
      </c>
      <c r="K57" s="20" t="s">
        <v>0</v>
      </c>
    </row>
    <row r="58" ht="20.4" customHeight="1" spans="1:11">
      <c r="A58" s="36" t="s">
        <v>0</v>
      </c>
      <c r="B58" s="36" t="s">
        <v>0</v>
      </c>
      <c r="C58" s="37" t="s">
        <v>307</v>
      </c>
      <c r="D58" s="37" t="s">
        <v>0</v>
      </c>
      <c r="E58" s="37" t="s">
        <v>0</v>
      </c>
      <c r="F58" s="37" t="s">
        <v>0</v>
      </c>
      <c r="G58" s="37" t="s">
        <v>0</v>
      </c>
      <c r="H58" s="37" t="s">
        <v>0</v>
      </c>
      <c r="I58" s="37" t="s">
        <v>0</v>
      </c>
      <c r="J58" s="43" t="s">
        <v>384</v>
      </c>
      <c r="K58" s="43" t="s">
        <v>0</v>
      </c>
    </row>
    <row r="59" ht="19.95" customHeight="1" spans="1:11">
      <c r="A59" s="36" t="s">
        <v>130</v>
      </c>
      <c r="B59" s="36" t="s">
        <v>0</v>
      </c>
      <c r="C59" s="36" t="s">
        <v>0</v>
      </c>
      <c r="D59" s="36" t="s">
        <v>0</v>
      </c>
      <c r="E59" s="36" t="s">
        <v>0</v>
      </c>
      <c r="F59" s="36" t="s">
        <v>0</v>
      </c>
      <c r="G59" s="36" t="s">
        <v>0</v>
      </c>
      <c r="H59" s="36" t="s">
        <v>0</v>
      </c>
      <c r="I59" s="36" t="s">
        <v>0</v>
      </c>
      <c r="J59" s="36" t="s">
        <v>0</v>
      </c>
      <c r="K59" s="36" t="s">
        <v>0</v>
      </c>
    </row>
    <row r="60" ht="19.95" customHeight="1" spans="1:11">
      <c r="A60" s="20" t="s">
        <v>24</v>
      </c>
      <c r="B60" s="20" t="s">
        <v>0</v>
      </c>
      <c r="C60" s="13" t="s">
        <v>347</v>
      </c>
      <c r="D60" s="13" t="s">
        <v>0</v>
      </c>
      <c r="E60" s="13" t="s">
        <v>0</v>
      </c>
      <c r="F60" s="13" t="s">
        <v>0</v>
      </c>
      <c r="G60" s="13" t="s">
        <v>0</v>
      </c>
      <c r="H60" s="13" t="s">
        <v>0</v>
      </c>
      <c r="I60" s="13" t="s">
        <v>0</v>
      </c>
      <c r="J60" s="13" t="s">
        <v>132</v>
      </c>
      <c r="K60" s="13" t="s">
        <v>0</v>
      </c>
    </row>
    <row r="61" ht="19.95" customHeight="1" spans="1:11">
      <c r="A61" s="20" t="s">
        <v>133</v>
      </c>
      <c r="B61" s="20" t="s">
        <v>0</v>
      </c>
      <c r="C61" s="13" t="s">
        <v>385</v>
      </c>
      <c r="D61" s="13" t="s">
        <v>0</v>
      </c>
      <c r="E61" s="13" t="s">
        <v>0</v>
      </c>
      <c r="F61" s="13" t="s">
        <v>0</v>
      </c>
      <c r="G61" s="13" t="s">
        <v>0</v>
      </c>
      <c r="H61" s="13" t="s">
        <v>0</v>
      </c>
      <c r="I61" s="13" t="s">
        <v>0</v>
      </c>
      <c r="J61" s="13" t="s">
        <v>386</v>
      </c>
      <c r="K61" s="13" t="s">
        <v>0</v>
      </c>
    </row>
    <row r="62" ht="19.95" customHeight="1" spans="1:11">
      <c r="A62" s="20" t="s">
        <v>136</v>
      </c>
      <c r="B62" s="20" t="s">
        <v>0</v>
      </c>
      <c r="C62" s="13" t="s">
        <v>387</v>
      </c>
      <c r="D62" s="13" t="s">
        <v>0</v>
      </c>
      <c r="E62" s="13" t="s">
        <v>0</v>
      </c>
      <c r="F62" s="13" t="s">
        <v>0</v>
      </c>
      <c r="G62" s="13" t="s">
        <v>0</v>
      </c>
      <c r="H62" s="13" t="s">
        <v>0</v>
      </c>
      <c r="I62" s="13" t="s">
        <v>0</v>
      </c>
      <c r="J62" s="13" t="str">
        <f>"综合单价："&amp;$M$74&amp;"元"</f>
        <v>综合单价：0元</v>
      </c>
      <c r="K62" s="13" t="s">
        <v>0</v>
      </c>
    </row>
    <row r="63" ht="19.95" customHeight="1" spans="1:11">
      <c r="A63" s="39" t="s">
        <v>32</v>
      </c>
      <c r="B63" s="39" t="s">
        <v>138</v>
      </c>
      <c r="C63" s="39" t="s">
        <v>139</v>
      </c>
      <c r="D63" s="39" t="s">
        <v>110</v>
      </c>
      <c r="E63" s="39" t="s">
        <v>140</v>
      </c>
      <c r="F63" s="39" t="s">
        <v>141</v>
      </c>
      <c r="G63" s="39" t="s">
        <v>0</v>
      </c>
      <c r="H63" s="39" t="s">
        <v>0</v>
      </c>
      <c r="I63" s="39" t="s">
        <v>0</v>
      </c>
      <c r="J63" s="39" t="s">
        <v>0</v>
      </c>
      <c r="K63" s="39" t="s">
        <v>0</v>
      </c>
    </row>
    <row r="64" ht="19.95" customHeight="1" spans="1:11">
      <c r="A64" s="39" t="s">
        <v>0</v>
      </c>
      <c r="B64" s="39" t="s">
        <v>0</v>
      </c>
      <c r="C64" s="39" t="s">
        <v>0</v>
      </c>
      <c r="D64" s="39" t="s">
        <v>0</v>
      </c>
      <c r="E64" s="39" t="s">
        <v>0</v>
      </c>
      <c r="F64" s="39" t="s">
        <v>115</v>
      </c>
      <c r="G64" s="39" t="s">
        <v>116</v>
      </c>
      <c r="H64" s="39" t="s">
        <v>117</v>
      </c>
      <c r="I64" s="39" t="s">
        <v>118</v>
      </c>
      <c r="J64" s="39" t="s">
        <v>119</v>
      </c>
      <c r="K64" s="39" t="s">
        <v>142</v>
      </c>
    </row>
    <row r="65" ht="19.95" customHeight="1" spans="1:11">
      <c r="A65" s="39" t="s">
        <v>53</v>
      </c>
      <c r="B65" s="39" t="s">
        <v>388</v>
      </c>
      <c r="C65" s="39" t="s">
        <v>352</v>
      </c>
      <c r="D65" s="39" t="s">
        <v>121</v>
      </c>
      <c r="E65" s="39">
        <v>103.3</v>
      </c>
      <c r="F65" s="39">
        <f>'D3-4 分部分项工程量清单综合单价计算表(分页带材料)【现~'!F176</f>
        <v>0</v>
      </c>
      <c r="G65" s="39" t="str">
        <f>'D3-4 分部分项工程量清单综合单价计算表(分页带材料)【现~'!G176</f>
        <v/>
      </c>
      <c r="H65" s="39" t="str">
        <f>'D3-4 分部分项工程量清单综合单价计算表(分页带材料)【现~'!H176</f>
        <v/>
      </c>
      <c r="I65" s="39">
        <f>'D3-4 分部分项工程量清单综合单价计算表(分页带材料)【现~'!I176</f>
        <v>0</v>
      </c>
      <c r="J65" s="39">
        <f>'D3-4 分部分项工程量清单综合单价计算表(分页带材料)【现~'!J176</f>
        <v>0</v>
      </c>
      <c r="K65" s="39">
        <f>'D3-4 分部分项工程量清单综合单价计算表(分页带材料)【现~'!K176</f>
        <v>0</v>
      </c>
    </row>
    <row r="66" ht="19.95" customHeight="1" spans="1:11">
      <c r="A66" s="39" t="s">
        <v>60</v>
      </c>
      <c r="B66" s="39" t="s">
        <v>389</v>
      </c>
      <c r="C66" s="39" t="s">
        <v>146</v>
      </c>
      <c r="D66" s="39" t="s">
        <v>121</v>
      </c>
      <c r="E66" s="39">
        <v>103.3</v>
      </c>
      <c r="F66" s="39">
        <f>'D3-4 分部分项工程量清单综合单价计算表(分页带材料)【现~'!F187</f>
        <v>0</v>
      </c>
      <c r="G66" s="39">
        <f>'D3-4 分部分项工程量清单综合单价计算表(分页带材料)【现~'!G187</f>
        <v>0</v>
      </c>
      <c r="H66" s="39">
        <f>'D3-4 分部分项工程量清单综合单价计算表(分页带材料)【现~'!H187</f>
        <v>0</v>
      </c>
      <c r="I66" s="39">
        <f>'D3-4 分部分项工程量清单综合单价计算表(分页带材料)【现~'!I187</f>
        <v>0</v>
      </c>
      <c r="J66" s="39">
        <f>'D3-4 分部分项工程量清单综合单价计算表(分页带材料)【现~'!J187</f>
        <v>0</v>
      </c>
      <c r="K66" s="39">
        <f>'D3-4 分部分项工程量清单综合单价计算表(分页带材料)【现~'!K187</f>
        <v>0</v>
      </c>
    </row>
    <row r="67" ht="19.95" customHeight="1" spans="1:11">
      <c r="A67" s="39" t="s">
        <v>64</v>
      </c>
      <c r="B67" s="39" t="s">
        <v>390</v>
      </c>
      <c r="C67" s="39" t="s">
        <v>148</v>
      </c>
      <c r="D67" s="39" t="s">
        <v>121</v>
      </c>
      <c r="E67" s="39">
        <v>103.3</v>
      </c>
      <c r="F67" s="39">
        <f>'D3-4 分部分项工程量清单综合单价计算表(分页带材料)【现~'!F194</f>
        <v>0</v>
      </c>
      <c r="G67" s="39">
        <f>'D3-4 分部分项工程量清单综合单价计算表(分页带材料)【现~'!G194</f>
        <v>0</v>
      </c>
      <c r="H67" s="39" t="str">
        <f>'D3-4 分部分项工程量清单综合单价计算表(分页带材料)【现~'!H194</f>
        <v/>
      </c>
      <c r="I67" s="39">
        <f>'D3-4 分部分项工程量清单综合单价计算表(分页带材料)【现~'!I194</f>
        <v>0</v>
      </c>
      <c r="J67" s="39">
        <f>'D3-4 分部分项工程量清单综合单价计算表(分页带材料)【现~'!J194</f>
        <v>0</v>
      </c>
      <c r="K67" s="39">
        <f>'D3-4 分部分项工程量清单综合单价计算表(分页带材料)【现~'!K194</f>
        <v>0</v>
      </c>
    </row>
    <row r="68" ht="19.95" customHeight="1" spans="1:11">
      <c r="A68" s="39" t="s">
        <v>74</v>
      </c>
      <c r="B68" s="39" t="s">
        <v>391</v>
      </c>
      <c r="C68" s="39" t="s">
        <v>150</v>
      </c>
      <c r="D68" s="39" t="s">
        <v>121</v>
      </c>
      <c r="E68" s="39">
        <v>103.3</v>
      </c>
      <c r="F68" s="39">
        <f>'D3-4 分部分项工程量清单综合单价计算表(分页带材料)【现~'!F198</f>
        <v>0</v>
      </c>
      <c r="G68" s="39">
        <f>'D3-4 分部分项工程量清单综合单价计算表(分页带材料)【现~'!G198</f>
        <v>0</v>
      </c>
      <c r="H68" s="39">
        <f>'D3-4 分部分项工程量清单综合单价计算表(分页带材料)【现~'!H198</f>
        <v>0</v>
      </c>
      <c r="I68" s="39">
        <f>'D3-4 分部分项工程量清单综合单价计算表(分页带材料)【现~'!I198</f>
        <v>0</v>
      </c>
      <c r="J68" s="39">
        <f>'D3-4 分部分项工程量清单综合单价计算表(分页带材料)【现~'!J198</f>
        <v>0</v>
      </c>
      <c r="K68" s="39">
        <f>'D3-4 分部分项工程量清单综合单价计算表(分页带材料)【现~'!K198</f>
        <v>0</v>
      </c>
    </row>
    <row r="69" ht="19.95" customHeight="1" spans="1:11">
      <c r="A69" s="39" t="s">
        <v>75</v>
      </c>
      <c r="B69" s="39" t="s">
        <v>392</v>
      </c>
      <c r="C69" s="39" t="s">
        <v>152</v>
      </c>
      <c r="D69" s="39" t="s">
        <v>121</v>
      </c>
      <c r="E69" s="39">
        <v>103.3</v>
      </c>
      <c r="F69" s="39">
        <f>'D3-4 分部分项工程量清单综合单价计算表(分页带材料)【现~'!F203</f>
        <v>0</v>
      </c>
      <c r="G69" s="39">
        <f>'D3-4 分部分项工程量清单综合单价计算表(分页带材料)【现~'!G203</f>
        <v>0</v>
      </c>
      <c r="H69" s="39">
        <f>'D3-4 分部分项工程量清单综合单价计算表(分页带材料)【现~'!H203</f>
        <v>0</v>
      </c>
      <c r="I69" s="39">
        <f>'D3-4 分部分项工程量清单综合单价计算表(分页带材料)【现~'!I203</f>
        <v>0</v>
      </c>
      <c r="J69" s="39">
        <f>'D3-4 分部分项工程量清单综合单价计算表(分页带材料)【现~'!J203</f>
        <v>0</v>
      </c>
      <c r="K69" s="39">
        <f>'D3-4 分部分项工程量清单综合单价计算表(分页带材料)【现~'!K203</f>
        <v>0</v>
      </c>
    </row>
    <row r="70" ht="19.95" customHeight="1" spans="1:11">
      <c r="A70" s="39" t="s">
        <v>77</v>
      </c>
      <c r="B70" s="39" t="s">
        <v>393</v>
      </c>
      <c r="C70" s="39" t="s">
        <v>154</v>
      </c>
      <c r="D70" s="39" t="s">
        <v>121</v>
      </c>
      <c r="E70" s="39">
        <v>103.3</v>
      </c>
      <c r="F70" s="39">
        <f>'D3-4 分部分项工程量清单综合单价计算表(分页带材料)【现~'!F207</f>
        <v>0</v>
      </c>
      <c r="G70" s="39">
        <f>'D3-4 分部分项工程量清单综合单价计算表(分页带材料)【现~'!G207</f>
        <v>0</v>
      </c>
      <c r="H70" s="39">
        <f>'D3-4 分部分项工程量清单综合单价计算表(分页带材料)【现~'!H207</f>
        <v>0</v>
      </c>
      <c r="I70" s="39">
        <f>'D3-4 分部分项工程量清单综合单价计算表(分页带材料)【现~'!I207</f>
        <v>0</v>
      </c>
      <c r="J70" s="39">
        <f>'D3-4 分部分项工程量清单综合单价计算表(分页带材料)【现~'!J207</f>
        <v>0</v>
      </c>
      <c r="K70" s="39">
        <f>'D3-4 分部分项工程量清单综合单价计算表(分页带材料)【现~'!K207</f>
        <v>0</v>
      </c>
    </row>
    <row r="71" ht="19.95" customHeight="1" spans="1:11">
      <c r="A71" s="39" t="s">
        <v>81</v>
      </c>
      <c r="B71" s="39" t="s">
        <v>394</v>
      </c>
      <c r="C71" s="39" t="s">
        <v>156</v>
      </c>
      <c r="D71" s="39" t="s">
        <v>121</v>
      </c>
      <c r="E71" s="39">
        <v>103.3</v>
      </c>
      <c r="F71" s="39">
        <f>'D3-4 分部分项工程量清单综合单价计算表(分页带材料)【现~'!F210</f>
        <v>0</v>
      </c>
      <c r="G71" s="39">
        <f>'D3-4 分部分项工程量清单综合单价计算表(分页带材料)【现~'!G210</f>
        <v>0</v>
      </c>
      <c r="H71" s="39">
        <f>'D3-4 分部分项工程量清单综合单价计算表(分页带材料)【现~'!H210</f>
        <v>0</v>
      </c>
      <c r="I71" s="39">
        <f>'D3-4 分部分项工程量清单综合单价计算表(分页带材料)【现~'!I210</f>
        <v>0</v>
      </c>
      <c r="J71" s="39">
        <f>'D3-4 分部分项工程量清单综合单价计算表(分页带材料)【现~'!J210</f>
        <v>0</v>
      </c>
      <c r="K71" s="39">
        <f>'D3-4 分部分项工程量清单综合单价计算表(分页带材料)【现~'!K210</f>
        <v>0</v>
      </c>
    </row>
    <row r="72" ht="19.95" customHeight="1" spans="1:11">
      <c r="A72" s="39" t="s">
        <v>157</v>
      </c>
      <c r="B72" s="39" t="s">
        <v>395</v>
      </c>
      <c r="C72" s="39" t="s">
        <v>159</v>
      </c>
      <c r="D72" s="39" t="s">
        <v>121</v>
      </c>
      <c r="E72" s="39">
        <v>103.3</v>
      </c>
      <c r="F72" s="39">
        <f>'D3-4 分部分项工程量清单综合单价计算表(分页带材料)【现~'!F213</f>
        <v>0</v>
      </c>
      <c r="G72" s="39" t="str">
        <f>'D3-4 分部分项工程量清单综合单价计算表(分页带材料)【现~'!G213</f>
        <v/>
      </c>
      <c r="H72" s="39" t="str">
        <f>'D3-4 分部分项工程量清单综合单价计算表(分页带材料)【现~'!H213</f>
        <v/>
      </c>
      <c r="I72" s="39">
        <f>'D3-4 分部分项工程量清单综合单价计算表(分页带材料)【现~'!I213</f>
        <v>0</v>
      </c>
      <c r="J72" s="39">
        <f>'D3-4 分部分项工程量清单综合单价计算表(分页带材料)【现~'!J213</f>
        <v>0</v>
      </c>
      <c r="K72" s="39">
        <f>'D3-4 分部分项工程量清单综合单价计算表(分页带材料)【现~'!K213</f>
        <v>0</v>
      </c>
    </row>
    <row r="73" ht="36" customHeight="1" spans="1:11">
      <c r="A73" s="39" t="s">
        <v>160</v>
      </c>
      <c r="B73" s="39" t="s">
        <v>161</v>
      </c>
      <c r="C73" s="39" t="s">
        <v>162</v>
      </c>
      <c r="D73" s="39" t="s">
        <v>163</v>
      </c>
      <c r="E73" s="39">
        <v>38</v>
      </c>
      <c r="F73" s="39">
        <f>'D3-4 分部分项工程量清单综合单价计算表(分页带材料)【现~'!F216</f>
        <v>0</v>
      </c>
      <c r="G73" s="39" t="str">
        <f>'D3-4 分部分项工程量清单综合单价计算表(分页带材料)【现~'!G216</f>
        <v/>
      </c>
      <c r="H73" s="39">
        <f>'D3-4 分部分项工程量清单综合单价计算表(分页带材料)【现~'!H216</f>
        <v>0</v>
      </c>
      <c r="I73" s="39">
        <f>'D3-4 分部分项工程量清单综合单价计算表(分页带材料)【现~'!I216</f>
        <v>0</v>
      </c>
      <c r="J73" s="39">
        <f>'D3-4 分部分项工程量清单综合单价计算表(分页带材料)【现~'!J216</f>
        <v>0</v>
      </c>
      <c r="K73" s="39">
        <f>'D3-4 分部分项工程量清单综合单价计算表(分页带材料)【现~'!K216</f>
        <v>0</v>
      </c>
    </row>
    <row r="74" ht="19.95" customHeight="1" spans="1:13">
      <c r="A74" s="57" t="s">
        <v>9</v>
      </c>
      <c r="B74" s="57" t="s">
        <v>9</v>
      </c>
      <c r="C74" s="39" t="s">
        <v>164</v>
      </c>
      <c r="D74" s="39"/>
      <c r="E74" s="39"/>
      <c r="F74" s="39">
        <f t="shared" ref="F74:J74" si="2">SUM(F65:F73)</f>
        <v>0</v>
      </c>
      <c r="G74" s="39">
        <f t="shared" si="2"/>
        <v>0</v>
      </c>
      <c r="H74" s="39">
        <f t="shared" si="2"/>
        <v>0</v>
      </c>
      <c r="I74" s="62">
        <f t="shared" si="2"/>
        <v>0</v>
      </c>
      <c r="J74" s="62">
        <f t="shared" si="2"/>
        <v>0</v>
      </c>
      <c r="K74" s="39">
        <f>SUM(F74:J74)</f>
        <v>0</v>
      </c>
      <c r="M74">
        <f>ROUND(K74/E72,2)</f>
        <v>0</v>
      </c>
    </row>
    <row r="75" spans="1:11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</row>
    <row r="76" spans="1:11">
      <c r="A76" s="13" t="s">
        <v>0</v>
      </c>
      <c r="B76" s="13" t="s">
        <v>0</v>
      </c>
      <c r="C76" s="13" t="s">
        <v>0</v>
      </c>
      <c r="D76" s="13" t="s">
        <v>0</v>
      </c>
      <c r="E76" s="13" t="s">
        <v>0</v>
      </c>
      <c r="F76" s="13" t="s">
        <v>0</v>
      </c>
      <c r="G76" s="20" t="s">
        <v>29</v>
      </c>
      <c r="H76" s="20" t="s">
        <v>0</v>
      </c>
      <c r="I76" s="20" t="s">
        <v>0</v>
      </c>
      <c r="J76" s="20" t="s">
        <v>0</v>
      </c>
      <c r="K76" s="20" t="s">
        <v>0</v>
      </c>
    </row>
    <row r="77" ht="18.6" customHeight="1"/>
    <row r="78" ht="19.95" customHeight="1"/>
    <row r="79" ht="19.95" customHeight="1"/>
    <row r="80" ht="19.95" customHeight="1"/>
    <row r="81" ht="19.95" customHeight="1"/>
    <row r="82" ht="19.95" customHeight="1"/>
    <row r="83" ht="19.95" customHeight="1"/>
    <row r="84" ht="19.95" customHeight="1"/>
    <row r="85" ht="19.95" customHeight="1"/>
    <row r="86" ht="19.95" customHeight="1"/>
    <row r="87" ht="19.95" customHeight="1"/>
    <row r="88" ht="19.95" customHeight="1"/>
    <row r="89" ht="19.95" customHeight="1"/>
    <row r="90" ht="19.95" customHeight="1"/>
    <row r="91" ht="19.95" customHeight="1"/>
    <row r="92" ht="19.95" customHeight="1" spans="13:13">
      <c r="M92" t="e">
        <f>ROUND(K92/E91,2)</f>
        <v>#DIV/0!</v>
      </c>
    </row>
    <row r="93" ht="174.6" customHeight="1"/>
    <row r="95" s="35" customFormat="1" ht="31.2" hidden="1" customHeight="1" spans="1:11">
      <c r="A95" s="47" t="s">
        <v>0</v>
      </c>
      <c r="B95" s="47" t="s">
        <v>0</v>
      </c>
      <c r="C95" s="48" t="s">
        <v>307</v>
      </c>
      <c r="D95" s="48" t="s">
        <v>0</v>
      </c>
      <c r="E95" s="48" t="s">
        <v>0</v>
      </c>
      <c r="F95" s="48" t="s">
        <v>0</v>
      </c>
      <c r="G95" s="48" t="s">
        <v>0</v>
      </c>
      <c r="H95" s="48" t="s">
        <v>0</v>
      </c>
      <c r="I95" s="48" t="s">
        <v>0</v>
      </c>
      <c r="J95" s="56" t="s">
        <v>396</v>
      </c>
      <c r="K95" s="56" t="s">
        <v>0</v>
      </c>
    </row>
    <row r="96" s="35" customFormat="1" hidden="1" spans="1:11">
      <c r="A96" s="47" t="s">
        <v>130</v>
      </c>
      <c r="B96" s="47" t="s">
        <v>0</v>
      </c>
      <c r="C96" s="47" t="s">
        <v>0</v>
      </c>
      <c r="D96" s="47" t="s">
        <v>0</v>
      </c>
      <c r="E96" s="47" t="s">
        <v>0</v>
      </c>
      <c r="F96" s="47" t="s">
        <v>0</v>
      </c>
      <c r="G96" s="47" t="s">
        <v>0</v>
      </c>
      <c r="H96" s="47" t="s">
        <v>0</v>
      </c>
      <c r="I96" s="47" t="s">
        <v>0</v>
      </c>
      <c r="J96" s="47" t="s">
        <v>0</v>
      </c>
      <c r="K96" s="47" t="s">
        <v>0</v>
      </c>
    </row>
    <row r="97" s="35" customFormat="1" ht="19.95" hidden="1" customHeight="1" spans="1:11">
      <c r="A97" s="63" t="s">
        <v>24</v>
      </c>
      <c r="B97" s="63" t="s">
        <v>0</v>
      </c>
      <c r="C97" s="64" t="s">
        <v>397</v>
      </c>
      <c r="D97" s="64" t="s">
        <v>0</v>
      </c>
      <c r="E97" s="64" t="s">
        <v>0</v>
      </c>
      <c r="F97" s="64" t="s">
        <v>0</v>
      </c>
      <c r="G97" s="64" t="s">
        <v>0</v>
      </c>
      <c r="H97" s="64" t="s">
        <v>0</v>
      </c>
      <c r="I97" s="64" t="s">
        <v>0</v>
      </c>
      <c r="J97" s="64" t="s">
        <v>132</v>
      </c>
      <c r="K97" s="64" t="s">
        <v>0</v>
      </c>
    </row>
    <row r="98" s="35" customFormat="1" ht="19.95" hidden="1" customHeight="1" spans="1:11">
      <c r="A98" s="63" t="s">
        <v>133</v>
      </c>
      <c r="B98" s="63" t="s">
        <v>0</v>
      </c>
      <c r="C98" s="64" t="s">
        <v>398</v>
      </c>
      <c r="D98" s="64" t="s">
        <v>0</v>
      </c>
      <c r="E98" s="64" t="s">
        <v>0</v>
      </c>
      <c r="F98" s="64" t="s">
        <v>0</v>
      </c>
      <c r="G98" s="64" t="s">
        <v>0</v>
      </c>
      <c r="H98" s="64" t="s">
        <v>0</v>
      </c>
      <c r="I98" s="64" t="s">
        <v>0</v>
      </c>
      <c r="J98" s="64" t="str">
        <f>"工程数量："&amp;'[1]附表C-6营造林工程投资概算'!$D$17</f>
        <v>工程数量：0</v>
      </c>
      <c r="K98" s="64" t="s">
        <v>0</v>
      </c>
    </row>
    <row r="99" s="35" customFormat="1" ht="19.95" hidden="1" customHeight="1" spans="1:11">
      <c r="A99" s="63" t="s">
        <v>136</v>
      </c>
      <c r="B99" s="63" t="s">
        <v>0</v>
      </c>
      <c r="C99" s="64" t="s">
        <v>399</v>
      </c>
      <c r="D99" s="64" t="s">
        <v>0</v>
      </c>
      <c r="E99" s="64" t="s">
        <v>0</v>
      </c>
      <c r="F99" s="64" t="s">
        <v>0</v>
      </c>
      <c r="G99" s="64" t="s">
        <v>0</v>
      </c>
      <c r="H99" s="64" t="s">
        <v>0</v>
      </c>
      <c r="I99" s="64" t="s">
        <v>0</v>
      </c>
      <c r="J99" s="64" t="str">
        <f>"综合单价："&amp;'[1]附表C-2营造林技术经济指标表'!$N$5&amp;"元"</f>
        <v>综合单价：34539.91元</v>
      </c>
      <c r="K99" s="64" t="s">
        <v>0</v>
      </c>
    </row>
    <row r="100" s="35" customFormat="1" ht="19.95" hidden="1" customHeight="1" spans="1:11">
      <c r="A100" s="52" t="s">
        <v>32</v>
      </c>
      <c r="B100" s="52" t="s">
        <v>138</v>
      </c>
      <c r="C100" s="52" t="s">
        <v>139</v>
      </c>
      <c r="D100" s="52" t="s">
        <v>110</v>
      </c>
      <c r="E100" s="52" t="s">
        <v>140</v>
      </c>
      <c r="F100" s="52" t="s">
        <v>141</v>
      </c>
      <c r="G100" s="52" t="s">
        <v>0</v>
      </c>
      <c r="H100" s="52" t="s">
        <v>0</v>
      </c>
      <c r="I100" s="52" t="s">
        <v>0</v>
      </c>
      <c r="J100" s="52" t="s">
        <v>0</v>
      </c>
      <c r="K100" s="52" t="s">
        <v>0</v>
      </c>
    </row>
    <row r="101" s="35" customFormat="1" ht="19.95" hidden="1" customHeight="1" spans="1:11">
      <c r="A101" s="52" t="s">
        <v>0</v>
      </c>
      <c r="B101" s="52" t="s">
        <v>0</v>
      </c>
      <c r="C101" s="52" t="s">
        <v>0</v>
      </c>
      <c r="D101" s="52" t="s">
        <v>0</v>
      </c>
      <c r="E101" s="52" t="s">
        <v>0</v>
      </c>
      <c r="F101" s="53" t="s">
        <v>115</v>
      </c>
      <c r="G101" s="52" t="s">
        <v>116</v>
      </c>
      <c r="H101" s="52" t="s">
        <v>117</v>
      </c>
      <c r="I101" s="52" t="s">
        <v>118</v>
      </c>
      <c r="J101" s="52" t="s">
        <v>119</v>
      </c>
      <c r="K101" s="52" t="s">
        <v>142</v>
      </c>
    </row>
    <row r="102" s="35" customFormat="1" ht="19.95" hidden="1" customHeight="1" spans="1:11">
      <c r="A102" s="65" t="s">
        <v>53</v>
      </c>
      <c r="B102" s="65" t="s">
        <v>400</v>
      </c>
      <c r="C102" s="66" t="s">
        <v>401</v>
      </c>
      <c r="D102" s="65" t="s">
        <v>121</v>
      </c>
      <c r="E102" s="67">
        <f>'[1]附表C-6营造林工程投资概算'!$D$17</f>
        <v>0</v>
      </c>
      <c r="F102" s="68">
        <f>ROUND(E102*'[1]附表C-2营造林技术经济指标表'!$N$15,2)</f>
        <v>0</v>
      </c>
      <c r="G102" s="67" t="s">
        <v>0</v>
      </c>
      <c r="H102" s="67" t="s">
        <v>0</v>
      </c>
      <c r="I102" s="67" t="s">
        <v>9</v>
      </c>
      <c r="J102" s="67" t="s">
        <v>9</v>
      </c>
      <c r="K102" s="67">
        <f>SUM(F102:J102)</f>
        <v>0</v>
      </c>
    </row>
    <row r="103" s="35" customFormat="1" ht="19.95" hidden="1" customHeight="1" spans="1:11">
      <c r="A103" s="65" t="s">
        <v>60</v>
      </c>
      <c r="B103" s="65" t="s">
        <v>402</v>
      </c>
      <c r="C103" s="66" t="s">
        <v>152</v>
      </c>
      <c r="D103" s="65" t="s">
        <v>121</v>
      </c>
      <c r="E103" s="67">
        <f>'[1]附表C-6营造林工程投资概算'!$D$17</f>
        <v>0</v>
      </c>
      <c r="F103" s="68">
        <f>ROUND(E103*('[1]附表C-2营造林技术经济指标表'!$N$116+'[1]附表C-2营造林技术经济指标表'!$N$118+'[1]附表C-2营造林技术经济指标表'!$N$120+'[1]附表C-2营造林技术经济指标表'!$N$124+'[1]附表C-2营造林技术经济指标表'!$N$126),2)</f>
        <v>0</v>
      </c>
      <c r="G103" s="67">
        <f>ROUND(E103*'[1]附表C-2营造林技术经济指标表'!$N$20,2)</f>
        <v>0</v>
      </c>
      <c r="H103" s="67" t="s">
        <v>0</v>
      </c>
      <c r="I103" s="67" t="s">
        <v>9</v>
      </c>
      <c r="J103" s="67" t="s">
        <v>9</v>
      </c>
      <c r="K103" s="67">
        <f t="shared" ref="K103:K107" si="3">SUM(F103:J103)</f>
        <v>0</v>
      </c>
    </row>
    <row r="104" s="35" customFormat="1" ht="19.95" hidden="1" customHeight="1" spans="1:11">
      <c r="A104" s="65" t="s">
        <v>64</v>
      </c>
      <c r="B104" s="65" t="s">
        <v>403</v>
      </c>
      <c r="C104" s="66" t="s">
        <v>148</v>
      </c>
      <c r="D104" s="65" t="s">
        <v>121</v>
      </c>
      <c r="E104" s="67">
        <f>'[1]附表C-6营造林工程投资概算'!$D$17</f>
        <v>0</v>
      </c>
      <c r="F104" s="68">
        <f>ROUND(E104*'[1]附表C-2营造林技术经济指标表'!$N$122,2)</f>
        <v>0</v>
      </c>
      <c r="G104" s="67">
        <f>ROUND(E104*'[1]附表C-2营造林技术经济指标表'!$N$84,2)</f>
        <v>0</v>
      </c>
      <c r="H104" s="67" t="s">
        <v>0</v>
      </c>
      <c r="I104" s="67" t="s">
        <v>9</v>
      </c>
      <c r="J104" s="67" t="s">
        <v>9</v>
      </c>
      <c r="K104" s="67">
        <f t="shared" si="3"/>
        <v>0</v>
      </c>
    </row>
    <row r="105" s="35" customFormat="1" ht="19.95" hidden="1" customHeight="1" spans="1:11">
      <c r="A105" s="65" t="s">
        <v>74</v>
      </c>
      <c r="B105" s="65" t="s">
        <v>404</v>
      </c>
      <c r="C105" s="66" t="s">
        <v>405</v>
      </c>
      <c r="D105" s="65" t="s">
        <v>121</v>
      </c>
      <c r="E105" s="67">
        <f>'[1]附表C-6营造林工程投资概算'!$D$17</f>
        <v>0</v>
      </c>
      <c r="F105" s="68">
        <f>ROUND(E105*'[1]附表C-2营造林技术经济指标表'!$N$136,2)</f>
        <v>0</v>
      </c>
      <c r="G105" s="67">
        <f>ROUND(E105*'[1]附表C-2营造林技术经济指标表'!$N$93,2)</f>
        <v>0</v>
      </c>
      <c r="H105" s="67" t="s">
        <v>0</v>
      </c>
      <c r="I105" s="67" t="s">
        <v>9</v>
      </c>
      <c r="J105" s="67" t="s">
        <v>9</v>
      </c>
      <c r="K105" s="67">
        <f t="shared" si="3"/>
        <v>0</v>
      </c>
    </row>
    <row r="106" s="35" customFormat="1" ht="19.95" hidden="1" customHeight="1" spans="1:11">
      <c r="A106" s="65" t="s">
        <v>75</v>
      </c>
      <c r="B106" s="65" t="s">
        <v>406</v>
      </c>
      <c r="C106" s="66" t="s">
        <v>156</v>
      </c>
      <c r="D106" s="65" t="s">
        <v>121</v>
      </c>
      <c r="E106" s="67">
        <f>'[1]附表C-6营造林工程投资概算'!$D$17</f>
        <v>0</v>
      </c>
      <c r="F106" s="68">
        <f>ROUND(E106*'[1]附表C-2营造林技术经济指标表'!$N$142,2)</f>
        <v>0</v>
      </c>
      <c r="G106" s="67">
        <f>ROUND(E106*'[1]附表C-2营造林技术经济指标表'!$N$158,2)</f>
        <v>0</v>
      </c>
      <c r="H106" s="67" t="s">
        <v>0</v>
      </c>
      <c r="I106" s="67" t="s">
        <v>9</v>
      </c>
      <c r="J106" s="67" t="s">
        <v>9</v>
      </c>
      <c r="K106" s="67">
        <f t="shared" si="3"/>
        <v>0</v>
      </c>
    </row>
    <row r="107" s="35" customFormat="1" ht="19.95" hidden="1" customHeight="1" spans="1:11">
      <c r="A107" s="65" t="s">
        <v>77</v>
      </c>
      <c r="B107" s="65" t="s">
        <v>407</v>
      </c>
      <c r="C107" s="66" t="s">
        <v>183</v>
      </c>
      <c r="D107" s="65" t="s">
        <v>121</v>
      </c>
      <c r="E107" s="67">
        <f>'[1]附表C-6营造林工程投资概算'!$D$17</f>
        <v>0</v>
      </c>
      <c r="F107" s="68">
        <f>ROUND(E107*('[1]附表C-2营造林技术经济指标表'!$N$128+'[1]附表C-2营造林技术经济指标表'!$N$138+'[1]附表C-2营造林技术经济指标表'!$N$140),2)</f>
        <v>0</v>
      </c>
      <c r="G107" s="67" t="s">
        <v>0</v>
      </c>
      <c r="H107" s="67" t="s">
        <v>0</v>
      </c>
      <c r="I107" s="67" t="s">
        <v>9</v>
      </c>
      <c r="J107" s="67" t="s">
        <v>9</v>
      </c>
      <c r="K107" s="67">
        <f t="shared" si="3"/>
        <v>0</v>
      </c>
    </row>
    <row r="108" s="35" customFormat="1" ht="19.95" hidden="1" customHeight="1" spans="1:11">
      <c r="A108" s="65" t="s">
        <v>81</v>
      </c>
      <c r="B108" s="65" t="s">
        <v>408</v>
      </c>
      <c r="C108" s="66" t="s">
        <v>409</v>
      </c>
      <c r="D108" s="65" t="s">
        <v>121</v>
      </c>
      <c r="E108" s="67">
        <f>'[1]附表C-6营造林工程投资概算'!$D$17</f>
        <v>0</v>
      </c>
      <c r="F108" s="68"/>
      <c r="G108" s="68">
        <f>ROUND(E108*'[1]附表C-2营造林技术经济指标表'!$N$161,2)</f>
        <v>0</v>
      </c>
      <c r="H108" s="67"/>
      <c r="I108" s="67"/>
      <c r="J108" s="67"/>
      <c r="K108" s="67"/>
    </row>
    <row r="109" s="35" customFormat="1" ht="19.95" hidden="1" customHeight="1" spans="1:11">
      <c r="A109" s="65" t="s">
        <v>157</v>
      </c>
      <c r="B109" s="65" t="s">
        <v>410</v>
      </c>
      <c r="C109" s="66" t="s">
        <v>159</v>
      </c>
      <c r="D109" s="65" t="s">
        <v>121</v>
      </c>
      <c r="E109" s="67">
        <f>'[1]附表C-6营造林工程投资概算'!$D$17</f>
        <v>0</v>
      </c>
      <c r="F109" s="68">
        <f>ROUND(E109*'[1]附表C-2营造林技术经济指标表'!$N$144,2)</f>
        <v>0</v>
      </c>
      <c r="G109" s="67" t="s">
        <v>0</v>
      </c>
      <c r="H109" s="67" t="s">
        <v>0</v>
      </c>
      <c r="I109" s="67" t="s">
        <v>9</v>
      </c>
      <c r="J109" s="67" t="s">
        <v>9</v>
      </c>
      <c r="K109" s="67">
        <f t="shared" ref="K109:K110" si="4">SUM(F109:J109)</f>
        <v>0</v>
      </c>
    </row>
    <row r="110" s="35" customFormat="1" ht="19.95" hidden="1" customHeight="1" spans="1:13">
      <c r="A110" s="65" t="s">
        <v>9</v>
      </c>
      <c r="B110" s="65" t="s">
        <v>9</v>
      </c>
      <c r="C110" s="65" t="s">
        <v>164</v>
      </c>
      <c r="D110" s="65" t="s">
        <v>9</v>
      </c>
      <c r="E110" s="67" t="s">
        <v>9</v>
      </c>
      <c r="F110" s="68">
        <f>SUM(F102:F109)</f>
        <v>0</v>
      </c>
      <c r="G110" s="68">
        <f>SUM(G102:G109)</f>
        <v>0</v>
      </c>
      <c r="H110" s="52" t="s">
        <v>0</v>
      </c>
      <c r="I110" s="67" t="s">
        <v>9</v>
      </c>
      <c r="J110" s="67" t="s">
        <v>9</v>
      </c>
      <c r="K110" s="67">
        <f t="shared" si="4"/>
        <v>0</v>
      </c>
      <c r="M110" s="35" t="e">
        <f>K110/E109</f>
        <v>#DIV/0!</v>
      </c>
    </row>
    <row r="111" ht="155.4" hidden="1" customHeight="1" spans="1:11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</row>
    <row r="112" hidden="1" spans="1:11">
      <c r="A112" s="13" t="s">
        <v>0</v>
      </c>
      <c r="B112" s="13" t="s">
        <v>0</v>
      </c>
      <c r="C112" s="13" t="s">
        <v>0</v>
      </c>
      <c r="D112" s="13" t="s">
        <v>0</v>
      </c>
      <c r="E112" s="13" t="s">
        <v>0</v>
      </c>
      <c r="F112" s="13" t="s">
        <v>0</v>
      </c>
      <c r="G112" s="20" t="s">
        <v>29</v>
      </c>
      <c r="H112" s="20" t="s">
        <v>0</v>
      </c>
      <c r="I112" s="20" t="s">
        <v>0</v>
      </c>
      <c r="J112" s="20" t="s">
        <v>0</v>
      </c>
      <c r="K112" s="20" t="s">
        <v>0</v>
      </c>
    </row>
    <row r="113" hidden="1"/>
    <row r="114" hidden="1"/>
  </sheetData>
  <mergeCells count="105">
    <mergeCell ref="A1:B1"/>
    <mergeCell ref="C1:I1"/>
    <mergeCell ref="J1:K1"/>
    <mergeCell ref="A2:K2"/>
    <mergeCell ref="A3:B3"/>
    <mergeCell ref="C3:I3"/>
    <mergeCell ref="J3:K3"/>
    <mergeCell ref="A4:B4"/>
    <mergeCell ref="C4:I4"/>
    <mergeCell ref="J4:K4"/>
    <mergeCell ref="A5:B5"/>
    <mergeCell ref="C5:I5"/>
    <mergeCell ref="J5:K5"/>
    <mergeCell ref="F6:K6"/>
    <mergeCell ref="A19:F19"/>
    <mergeCell ref="G19:K19"/>
    <mergeCell ref="A20:B20"/>
    <mergeCell ref="C20:I20"/>
    <mergeCell ref="J20:K20"/>
    <mergeCell ref="A21:K21"/>
    <mergeCell ref="A22:B22"/>
    <mergeCell ref="C22:I22"/>
    <mergeCell ref="J22:K22"/>
    <mergeCell ref="A23:B23"/>
    <mergeCell ref="C23:I23"/>
    <mergeCell ref="J23:K23"/>
    <mergeCell ref="A24:B24"/>
    <mergeCell ref="C24:I24"/>
    <mergeCell ref="J24:K24"/>
    <mergeCell ref="F25:K25"/>
    <mergeCell ref="A38:F38"/>
    <mergeCell ref="G38:K38"/>
    <mergeCell ref="A39:B39"/>
    <mergeCell ref="C39:I39"/>
    <mergeCell ref="J39:K39"/>
    <mergeCell ref="A40:K40"/>
    <mergeCell ref="A41:B41"/>
    <mergeCell ref="C41:I41"/>
    <mergeCell ref="J41:K41"/>
    <mergeCell ref="A42:B42"/>
    <mergeCell ref="C42:I42"/>
    <mergeCell ref="J42:K42"/>
    <mergeCell ref="A43:B43"/>
    <mergeCell ref="C43:I43"/>
    <mergeCell ref="J43:K43"/>
    <mergeCell ref="F44:K44"/>
    <mergeCell ref="A57:F57"/>
    <mergeCell ref="G57:K57"/>
    <mergeCell ref="A58:B58"/>
    <mergeCell ref="C58:I58"/>
    <mergeCell ref="J58:K58"/>
    <mergeCell ref="A59:K59"/>
    <mergeCell ref="A60:B60"/>
    <mergeCell ref="C60:I60"/>
    <mergeCell ref="J60:K60"/>
    <mergeCell ref="A61:B61"/>
    <mergeCell ref="C61:I61"/>
    <mergeCell ref="J61:K61"/>
    <mergeCell ref="A62:B62"/>
    <mergeCell ref="C62:I62"/>
    <mergeCell ref="J62:K62"/>
    <mergeCell ref="F63:K63"/>
    <mergeCell ref="A76:F76"/>
    <mergeCell ref="G76:K76"/>
    <mergeCell ref="A95:B95"/>
    <mergeCell ref="C95:I95"/>
    <mergeCell ref="J95:K95"/>
    <mergeCell ref="A96:K96"/>
    <mergeCell ref="A97:B97"/>
    <mergeCell ref="C97:I97"/>
    <mergeCell ref="J97:K97"/>
    <mergeCell ref="A98:B98"/>
    <mergeCell ref="C98:I98"/>
    <mergeCell ref="J98:K98"/>
    <mergeCell ref="A99:B99"/>
    <mergeCell ref="C99:I99"/>
    <mergeCell ref="J99:K99"/>
    <mergeCell ref="F100:K100"/>
    <mergeCell ref="A112:F112"/>
    <mergeCell ref="G112:K112"/>
    <mergeCell ref="A6:A7"/>
    <mergeCell ref="A25:A26"/>
    <mergeCell ref="A44:A45"/>
    <mergeCell ref="A63:A64"/>
    <mergeCell ref="A100:A101"/>
    <mergeCell ref="B6:B7"/>
    <mergeCell ref="B25:B26"/>
    <mergeCell ref="B44:B45"/>
    <mergeCell ref="B63:B64"/>
    <mergeCell ref="B100:B101"/>
    <mergeCell ref="C6:C7"/>
    <mergeCell ref="C25:C26"/>
    <mergeCell ref="C44:C45"/>
    <mergeCell ref="C63:C64"/>
    <mergeCell ref="C100:C101"/>
    <mergeCell ref="D6:D7"/>
    <mergeCell ref="D25:D26"/>
    <mergeCell ref="D44:D45"/>
    <mergeCell ref="D63:D64"/>
    <mergeCell ref="D100:D101"/>
    <mergeCell ref="E6:E7"/>
    <mergeCell ref="E25:E26"/>
    <mergeCell ref="E44:E45"/>
    <mergeCell ref="E63:E64"/>
    <mergeCell ref="E100:E101"/>
  </mergeCells>
  <pageMargins left="0.708661417322835" right="0.708661417322835" top="0.748031496062992" bottom="0.748031496062992" header="0.31496062992126" footer="0.31496062992126"/>
  <pageSetup paperSize="9" orientation="landscape"/>
  <headerFooter/>
  <rowBreaks count="4" manualBreakCount="4">
    <brk id="19" max="10" man="1"/>
    <brk id="38" max="10" man="1"/>
    <brk id="57" max="10" man="1"/>
    <brk id="76" max="10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2"/>
  <sheetViews>
    <sheetView view="pageBreakPreview" zoomScaleNormal="100" topLeftCell="A55" workbookViewId="0">
      <selection activeCell="C172" sqref="C172:I172"/>
    </sheetView>
  </sheetViews>
  <sheetFormatPr defaultColWidth="9" defaultRowHeight="14.4"/>
  <cols>
    <col min="2" max="2" width="13.4444444444444" customWidth="1"/>
    <col min="3" max="3" width="28.7777777777778" customWidth="1"/>
    <col min="5" max="5" width="9.33333333333333" customWidth="1"/>
    <col min="6" max="6" width="11.7777777777778" customWidth="1"/>
    <col min="7" max="7" width="10.212962962963" customWidth="1"/>
    <col min="8" max="8" width="10.5462962962963"/>
    <col min="9" max="9" width="9.44444444444444"/>
    <col min="10" max="10" width="10.8796296296296" customWidth="1"/>
    <col min="11" max="11" width="10.212962962963" customWidth="1"/>
    <col min="12" max="12" width="11.7777777777778"/>
  </cols>
  <sheetData>
    <row r="1" ht="26.4" customHeight="1" spans="1:11">
      <c r="A1" s="36" t="s">
        <v>0</v>
      </c>
      <c r="B1" s="36" t="s">
        <v>0</v>
      </c>
      <c r="C1" s="37" t="s">
        <v>129</v>
      </c>
      <c r="D1" s="37" t="s">
        <v>0</v>
      </c>
      <c r="E1" s="37" t="s">
        <v>0</v>
      </c>
      <c r="F1" s="37" t="s">
        <v>0</v>
      </c>
      <c r="G1" s="37" t="s">
        <v>0</v>
      </c>
      <c r="H1" s="37" t="s">
        <v>0</v>
      </c>
      <c r="I1" s="37" t="s">
        <v>0</v>
      </c>
      <c r="J1" s="43" t="s">
        <v>411</v>
      </c>
      <c r="K1" s="43" t="s">
        <v>0</v>
      </c>
    </row>
    <row r="2" spans="1:11">
      <c r="A2" s="38" t="s">
        <v>130</v>
      </c>
      <c r="B2" s="38" t="s">
        <v>0</v>
      </c>
      <c r="C2" s="38" t="s">
        <v>0</v>
      </c>
      <c r="D2" s="38" t="s">
        <v>0</v>
      </c>
      <c r="E2" s="38" t="s">
        <v>0</v>
      </c>
      <c r="F2" s="38" t="s">
        <v>0</v>
      </c>
      <c r="G2" s="38" t="s">
        <v>0</v>
      </c>
      <c r="H2" s="38" t="s">
        <v>0</v>
      </c>
      <c r="I2" s="38" t="s">
        <v>0</v>
      </c>
      <c r="J2" s="38" t="s">
        <v>0</v>
      </c>
      <c r="K2" s="38" t="s">
        <v>0</v>
      </c>
    </row>
    <row r="3" spans="1:11">
      <c r="A3" s="20" t="s">
        <v>24</v>
      </c>
      <c r="B3" s="20" t="s">
        <v>0</v>
      </c>
      <c r="C3" s="13" t="s">
        <v>412</v>
      </c>
      <c r="D3" s="13" t="s">
        <v>0</v>
      </c>
      <c r="E3" s="13" t="s">
        <v>0</v>
      </c>
      <c r="F3" s="13" t="s">
        <v>0</v>
      </c>
      <c r="G3" s="13" t="s">
        <v>0</v>
      </c>
      <c r="H3" s="13" t="s">
        <v>0</v>
      </c>
      <c r="I3" s="13" t="s">
        <v>0</v>
      </c>
      <c r="J3" s="13" t="s">
        <v>413</v>
      </c>
      <c r="K3" s="13" t="s">
        <v>0</v>
      </c>
    </row>
    <row r="4" spans="1:11">
      <c r="A4" s="20" t="s">
        <v>133</v>
      </c>
      <c r="B4" s="20" t="s">
        <v>0</v>
      </c>
      <c r="C4" s="13" t="s">
        <v>123</v>
      </c>
      <c r="D4" s="13" t="s">
        <v>0</v>
      </c>
      <c r="E4" s="13" t="s">
        <v>0</v>
      </c>
      <c r="F4" s="13" t="s">
        <v>0</v>
      </c>
      <c r="G4" s="13" t="s">
        <v>0</v>
      </c>
      <c r="H4" s="13" t="s">
        <v>0</v>
      </c>
      <c r="I4" s="13" t="s">
        <v>0</v>
      </c>
      <c r="J4" s="13" t="s">
        <v>349</v>
      </c>
      <c r="K4" s="13" t="s">
        <v>0</v>
      </c>
    </row>
    <row r="5" spans="1:11">
      <c r="A5" s="20" t="s">
        <v>136</v>
      </c>
      <c r="B5" s="20" t="s">
        <v>0</v>
      </c>
      <c r="C5" s="13" t="s">
        <v>91</v>
      </c>
      <c r="D5" s="13" t="s">
        <v>0</v>
      </c>
      <c r="E5" s="13" t="s">
        <v>0</v>
      </c>
      <c r="F5" s="13" t="s">
        <v>0</v>
      </c>
      <c r="G5" s="13" t="s">
        <v>0</v>
      </c>
      <c r="H5" s="13" t="s">
        <v>0</v>
      </c>
      <c r="I5" s="13" t="s">
        <v>0</v>
      </c>
      <c r="J5" s="13" t="e">
        <f>"综合单价："&amp;$M$54&amp;"元 "</f>
        <v>#DIV/0!</v>
      </c>
      <c r="K5" s="13" t="s">
        <v>0</v>
      </c>
    </row>
    <row r="6" spans="1:11">
      <c r="A6" s="39" t="s">
        <v>32</v>
      </c>
      <c r="B6" s="39" t="s">
        <v>138</v>
      </c>
      <c r="C6" s="39" t="s">
        <v>139</v>
      </c>
      <c r="D6" s="39" t="s">
        <v>110</v>
      </c>
      <c r="E6" s="39" t="s">
        <v>140</v>
      </c>
      <c r="F6" s="39" t="s">
        <v>414</v>
      </c>
      <c r="G6" s="39" t="s">
        <v>0</v>
      </c>
      <c r="H6" s="39" t="s">
        <v>0</v>
      </c>
      <c r="I6" s="39" t="s">
        <v>0</v>
      </c>
      <c r="J6" s="39" t="s">
        <v>0</v>
      </c>
      <c r="K6" s="39" t="s">
        <v>0</v>
      </c>
    </row>
    <row r="7" spans="1:11">
      <c r="A7" s="39" t="s">
        <v>0</v>
      </c>
      <c r="B7" s="39" t="s">
        <v>0</v>
      </c>
      <c r="C7" s="39" t="s">
        <v>0</v>
      </c>
      <c r="D7" s="39" t="s">
        <v>0</v>
      </c>
      <c r="E7" s="39" t="s">
        <v>0</v>
      </c>
      <c r="F7" s="39" t="s">
        <v>115</v>
      </c>
      <c r="G7" s="39" t="s">
        <v>116</v>
      </c>
      <c r="H7" s="39" t="s">
        <v>117</v>
      </c>
      <c r="I7" s="39" t="s">
        <v>118</v>
      </c>
      <c r="J7" s="39" t="s">
        <v>119</v>
      </c>
      <c r="K7" s="39" t="s">
        <v>142</v>
      </c>
    </row>
    <row r="8" spans="1:11">
      <c r="A8" s="40">
        <v>1</v>
      </c>
      <c r="B8" s="39" t="s">
        <v>351</v>
      </c>
      <c r="C8" s="41" t="s">
        <v>352</v>
      </c>
      <c r="D8" s="41" t="s">
        <v>121</v>
      </c>
      <c r="E8" s="39"/>
      <c r="F8" s="39">
        <f>SUM(F9:F18)</f>
        <v>0</v>
      </c>
      <c r="G8" s="39" t="s">
        <v>0</v>
      </c>
      <c r="H8" s="39" t="s">
        <v>0</v>
      </c>
      <c r="I8" s="39">
        <f>SUM(I9:I18)</f>
        <v>0</v>
      </c>
      <c r="J8" s="39">
        <f>SUM(J9:J18)</f>
        <v>0</v>
      </c>
      <c r="K8" s="39">
        <f>SUM(F8:J8)</f>
        <v>0</v>
      </c>
    </row>
    <row r="9" spans="1:12">
      <c r="A9" s="40">
        <v>2</v>
      </c>
      <c r="B9" s="39"/>
      <c r="C9" s="41" t="s">
        <v>320</v>
      </c>
      <c r="D9" s="41" t="s">
        <v>170</v>
      </c>
      <c r="E9" s="40"/>
      <c r="F9" s="42">
        <f>E9*$L$9*0.95</f>
        <v>0</v>
      </c>
      <c r="G9" s="39"/>
      <c r="H9" s="39"/>
      <c r="I9" s="39">
        <f>ROUND(F9*0.02,2)</f>
        <v>0</v>
      </c>
      <c r="J9" s="39">
        <f>ROUND(F9*0.05,2)</f>
        <v>0</v>
      </c>
      <c r="K9" s="39">
        <f t="shared" ref="K9:K18" si="0">SUM(F9:J9)</f>
        <v>0</v>
      </c>
      <c r="L9">
        <v>232</v>
      </c>
    </row>
    <row r="10" spans="1:12">
      <c r="A10" s="40">
        <v>3</v>
      </c>
      <c r="B10" s="39"/>
      <c r="C10" s="41" t="s">
        <v>169</v>
      </c>
      <c r="D10" s="41" t="s">
        <v>170</v>
      </c>
      <c r="E10" s="40"/>
      <c r="F10" s="42">
        <f>E10*$L$9*0.95</f>
        <v>0</v>
      </c>
      <c r="G10" s="39"/>
      <c r="H10" s="39"/>
      <c r="I10" s="39">
        <f t="shared" ref="I10:I22" si="1">ROUND(F10*0.02,2)</f>
        <v>0</v>
      </c>
      <c r="J10" s="39">
        <f t="shared" ref="J10:J22" si="2">ROUND(F10*0.05,2)</f>
        <v>0</v>
      </c>
      <c r="K10" s="39">
        <f t="shared" si="0"/>
        <v>0</v>
      </c>
      <c r="L10">
        <v>128</v>
      </c>
    </row>
    <row r="11" spans="1:11">
      <c r="A11" s="40">
        <v>4</v>
      </c>
      <c r="B11" s="39"/>
      <c r="C11" s="41" t="s">
        <v>321</v>
      </c>
      <c r="D11" s="41" t="s">
        <v>170</v>
      </c>
      <c r="E11" s="40"/>
      <c r="F11" s="42">
        <f>E11*$L$9*0.95</f>
        <v>0</v>
      </c>
      <c r="G11" s="39"/>
      <c r="H11" s="39"/>
      <c r="I11" s="39">
        <f t="shared" si="1"/>
        <v>0</v>
      </c>
      <c r="J11" s="39">
        <f t="shared" si="2"/>
        <v>0</v>
      </c>
      <c r="K11" s="39">
        <f t="shared" si="0"/>
        <v>0</v>
      </c>
    </row>
    <row r="12" spans="1:11">
      <c r="A12" s="40">
        <v>5</v>
      </c>
      <c r="B12" s="39"/>
      <c r="C12" s="41" t="s">
        <v>322</v>
      </c>
      <c r="D12" s="41" t="s">
        <v>170</v>
      </c>
      <c r="E12" s="40"/>
      <c r="F12" s="42">
        <f t="shared" ref="F12:F18" si="3">E12*$L$10*0.95</f>
        <v>0</v>
      </c>
      <c r="G12" s="39"/>
      <c r="H12" s="39"/>
      <c r="I12" s="39">
        <f t="shared" si="1"/>
        <v>0</v>
      </c>
      <c r="J12" s="39">
        <f t="shared" si="2"/>
        <v>0</v>
      </c>
      <c r="K12" s="39">
        <f t="shared" si="0"/>
        <v>0</v>
      </c>
    </row>
    <row r="13" spans="1:11">
      <c r="A13" s="40">
        <v>6</v>
      </c>
      <c r="B13" s="39"/>
      <c r="C13" s="41" t="s">
        <v>323</v>
      </c>
      <c r="D13" s="41" t="s">
        <v>170</v>
      </c>
      <c r="E13" s="40"/>
      <c r="F13" s="42">
        <f t="shared" si="3"/>
        <v>0</v>
      </c>
      <c r="G13" s="39"/>
      <c r="H13" s="39"/>
      <c r="I13" s="39">
        <f t="shared" si="1"/>
        <v>0</v>
      </c>
      <c r="J13" s="39">
        <f t="shared" si="2"/>
        <v>0</v>
      </c>
      <c r="K13" s="39">
        <f t="shared" si="0"/>
        <v>0</v>
      </c>
    </row>
    <row r="14" spans="1:11">
      <c r="A14" s="40">
        <v>7</v>
      </c>
      <c r="B14" s="39"/>
      <c r="C14" s="41" t="s">
        <v>324</v>
      </c>
      <c r="D14" s="41" t="s">
        <v>170</v>
      </c>
      <c r="E14" s="40"/>
      <c r="F14" s="42">
        <f t="shared" si="3"/>
        <v>0</v>
      </c>
      <c r="G14" s="39"/>
      <c r="H14" s="39"/>
      <c r="I14" s="39">
        <f t="shared" si="1"/>
        <v>0</v>
      </c>
      <c r="J14" s="39">
        <f t="shared" si="2"/>
        <v>0</v>
      </c>
      <c r="K14" s="39">
        <f t="shared" si="0"/>
        <v>0</v>
      </c>
    </row>
    <row r="15" spans="1:11">
      <c r="A15" s="40">
        <v>8</v>
      </c>
      <c r="B15" s="39"/>
      <c r="C15" s="41" t="s">
        <v>325</v>
      </c>
      <c r="D15" s="41" t="s">
        <v>170</v>
      </c>
      <c r="E15" s="40"/>
      <c r="F15" s="42">
        <f t="shared" si="3"/>
        <v>0</v>
      </c>
      <c r="G15" s="39"/>
      <c r="H15" s="39"/>
      <c r="I15" s="39">
        <f t="shared" si="1"/>
        <v>0</v>
      </c>
      <c r="J15" s="39">
        <f t="shared" si="2"/>
        <v>0</v>
      </c>
      <c r="K15" s="39">
        <f t="shared" si="0"/>
        <v>0</v>
      </c>
    </row>
    <row r="16" spans="1:11">
      <c r="A16" s="40">
        <v>9</v>
      </c>
      <c r="B16" s="39"/>
      <c r="C16" s="41" t="s">
        <v>326</v>
      </c>
      <c r="D16" s="41" t="s">
        <v>170</v>
      </c>
      <c r="E16" s="40"/>
      <c r="F16" s="42">
        <f t="shared" si="3"/>
        <v>0</v>
      </c>
      <c r="G16" s="39"/>
      <c r="H16" s="39"/>
      <c r="I16" s="39">
        <f t="shared" si="1"/>
        <v>0</v>
      </c>
      <c r="J16" s="39">
        <f t="shared" si="2"/>
        <v>0</v>
      </c>
      <c r="K16" s="39">
        <f t="shared" si="0"/>
        <v>0</v>
      </c>
    </row>
    <row r="17" spans="1:11">
      <c r="A17" s="40">
        <v>10</v>
      </c>
      <c r="B17" s="39"/>
      <c r="C17" s="41" t="s">
        <v>171</v>
      </c>
      <c r="D17" s="41" t="s">
        <v>170</v>
      </c>
      <c r="E17" s="40"/>
      <c r="F17" s="42">
        <f t="shared" si="3"/>
        <v>0</v>
      </c>
      <c r="G17" s="39"/>
      <c r="H17" s="39"/>
      <c r="I17" s="39">
        <f t="shared" si="1"/>
        <v>0</v>
      </c>
      <c r="J17" s="39">
        <f t="shared" si="2"/>
        <v>0</v>
      </c>
      <c r="K17" s="39">
        <f t="shared" si="0"/>
        <v>0</v>
      </c>
    </row>
    <row r="18" spans="1:11">
      <c r="A18" s="40">
        <v>11</v>
      </c>
      <c r="B18" s="39"/>
      <c r="C18" s="41" t="s">
        <v>172</v>
      </c>
      <c r="D18" s="41" t="s">
        <v>170</v>
      </c>
      <c r="E18" s="40"/>
      <c r="F18" s="42">
        <f t="shared" si="3"/>
        <v>0</v>
      </c>
      <c r="G18" s="39"/>
      <c r="H18" s="39"/>
      <c r="I18" s="39">
        <f t="shared" si="1"/>
        <v>0</v>
      </c>
      <c r="J18" s="39">
        <f t="shared" si="2"/>
        <v>0</v>
      </c>
      <c r="K18" s="39">
        <f t="shared" si="0"/>
        <v>0</v>
      </c>
    </row>
    <row r="19" spans="1:11">
      <c r="A19" s="40">
        <v>12</v>
      </c>
      <c r="B19" s="39" t="s">
        <v>353</v>
      </c>
      <c r="C19" s="41" t="s">
        <v>146</v>
      </c>
      <c r="D19" s="41" t="s">
        <v>121</v>
      </c>
      <c r="E19" s="39"/>
      <c r="F19" s="39">
        <f>SUM(F20:F25)</f>
        <v>0</v>
      </c>
      <c r="G19" s="39">
        <f>SUM(G20:G25)</f>
        <v>0</v>
      </c>
      <c r="H19" s="39"/>
      <c r="I19" s="39">
        <f t="shared" si="1"/>
        <v>0</v>
      </c>
      <c r="J19" s="39">
        <f t="shared" si="2"/>
        <v>0</v>
      </c>
      <c r="K19" s="39">
        <f t="shared" ref="K19:K31" si="4">SUM(F19:J19)</f>
        <v>0</v>
      </c>
    </row>
    <row r="20" spans="1:11">
      <c r="A20" s="40">
        <v>13</v>
      </c>
      <c r="B20" s="39"/>
      <c r="C20" s="41" t="s">
        <v>173</v>
      </c>
      <c r="D20" s="41" t="s">
        <v>170</v>
      </c>
      <c r="E20" s="40"/>
      <c r="F20" s="42">
        <f>E20*$L$10*0.95</f>
        <v>0</v>
      </c>
      <c r="G20" s="39" t="s">
        <v>0</v>
      </c>
      <c r="H20" s="39"/>
      <c r="I20" s="39">
        <f t="shared" si="1"/>
        <v>0</v>
      </c>
      <c r="J20" s="39">
        <f t="shared" si="2"/>
        <v>0</v>
      </c>
      <c r="K20" s="39">
        <f t="shared" si="4"/>
        <v>0</v>
      </c>
    </row>
    <row r="21" spans="1:11">
      <c r="A21" s="40">
        <v>14</v>
      </c>
      <c r="B21" s="39"/>
      <c r="C21" s="41" t="s">
        <v>174</v>
      </c>
      <c r="D21" s="41" t="s">
        <v>170</v>
      </c>
      <c r="E21" s="40"/>
      <c r="F21" s="42">
        <f>E21*$L$10*0.95</f>
        <v>0</v>
      </c>
      <c r="G21" s="39" t="s">
        <v>0</v>
      </c>
      <c r="H21" s="39"/>
      <c r="I21" s="39">
        <f t="shared" si="1"/>
        <v>0</v>
      </c>
      <c r="J21" s="39">
        <f t="shared" si="2"/>
        <v>0</v>
      </c>
      <c r="K21" s="39">
        <f t="shared" si="4"/>
        <v>0</v>
      </c>
    </row>
    <row r="22" spans="1:11">
      <c r="A22" s="40">
        <v>15</v>
      </c>
      <c r="B22" s="39"/>
      <c r="C22" s="41" t="s">
        <v>175</v>
      </c>
      <c r="D22" s="41" t="s">
        <v>170</v>
      </c>
      <c r="E22" s="40"/>
      <c r="F22" s="42">
        <f>E22*$L$10*0.95</f>
        <v>0</v>
      </c>
      <c r="G22" s="39" t="s">
        <v>0</v>
      </c>
      <c r="H22" s="39"/>
      <c r="I22" s="39">
        <f t="shared" si="1"/>
        <v>0</v>
      </c>
      <c r="J22" s="39">
        <f t="shared" si="2"/>
        <v>0</v>
      </c>
      <c r="K22" s="39">
        <f t="shared" si="4"/>
        <v>0</v>
      </c>
    </row>
    <row r="23" spans="1:12">
      <c r="A23" s="40">
        <v>16</v>
      </c>
      <c r="B23" s="39"/>
      <c r="C23" s="41" t="s">
        <v>415</v>
      </c>
      <c r="D23" s="41" t="s">
        <v>177</v>
      </c>
      <c r="E23" s="40"/>
      <c r="F23" s="39" t="s">
        <v>0</v>
      </c>
      <c r="G23" s="42">
        <f>E23*L23*0.95</f>
        <v>0</v>
      </c>
      <c r="H23" s="39"/>
      <c r="I23" s="39"/>
      <c r="J23" s="39"/>
      <c r="K23" s="39">
        <f t="shared" si="4"/>
        <v>0</v>
      </c>
      <c r="L23">
        <v>3.83</v>
      </c>
    </row>
    <row r="24" spans="1:12">
      <c r="A24" s="40">
        <v>17</v>
      </c>
      <c r="B24" s="39"/>
      <c r="C24" s="41" t="s">
        <v>178</v>
      </c>
      <c r="D24" s="41" t="s">
        <v>177</v>
      </c>
      <c r="E24" s="40"/>
      <c r="F24" s="39" t="s">
        <v>0</v>
      </c>
      <c r="G24" s="42">
        <f>E24*L24*0.95</f>
        <v>0</v>
      </c>
      <c r="H24" s="39" t="s">
        <v>0</v>
      </c>
      <c r="I24" s="39"/>
      <c r="J24" s="39"/>
      <c r="K24" s="39">
        <f t="shared" si="4"/>
        <v>0</v>
      </c>
      <c r="L24">
        <v>4.83</v>
      </c>
    </row>
    <row r="25" spans="1:11">
      <c r="A25" s="40">
        <v>18</v>
      </c>
      <c r="B25" s="39"/>
      <c r="C25" s="41" t="s">
        <v>179</v>
      </c>
      <c r="D25" s="41" t="s">
        <v>170</v>
      </c>
      <c r="E25" s="40"/>
      <c r="F25" s="42">
        <f>E25*$L$10*0.95</f>
        <v>0</v>
      </c>
      <c r="G25" s="39" t="s">
        <v>0</v>
      </c>
      <c r="H25" s="39"/>
      <c r="I25" s="39">
        <f>ROUND(F25*0.02,2)</f>
        <v>0</v>
      </c>
      <c r="J25" s="39">
        <f>ROUND(F25*0.05,2)</f>
        <v>0</v>
      </c>
      <c r="K25" s="39">
        <f t="shared" si="4"/>
        <v>0</v>
      </c>
    </row>
    <row r="26" spans="1:11">
      <c r="A26" s="39">
        <v>19</v>
      </c>
      <c r="B26" s="39" t="s">
        <v>354</v>
      </c>
      <c r="C26" s="41" t="s">
        <v>148</v>
      </c>
      <c r="D26" s="41" t="s">
        <v>121</v>
      </c>
      <c r="E26" s="39"/>
      <c r="F26" s="39">
        <f>SUM(F27:F29)</f>
        <v>0</v>
      </c>
      <c r="G26" s="39">
        <f>SUM(G27:G29)</f>
        <v>0</v>
      </c>
      <c r="H26" s="39" t="s">
        <v>0</v>
      </c>
      <c r="I26" s="39">
        <f t="shared" ref="I26:I27" si="5">ROUND(F26*0.02,2)</f>
        <v>0</v>
      </c>
      <c r="J26" s="39">
        <f t="shared" ref="J26:J27" si="6">ROUND(F26*0.05,2)</f>
        <v>0</v>
      </c>
      <c r="K26" s="39">
        <f t="shared" si="4"/>
        <v>0</v>
      </c>
    </row>
    <row r="27" spans="1:11">
      <c r="A27" s="39">
        <v>20</v>
      </c>
      <c r="B27" s="39"/>
      <c r="C27" s="41" t="s">
        <v>148</v>
      </c>
      <c r="D27" s="41" t="s">
        <v>170</v>
      </c>
      <c r="E27" s="40"/>
      <c r="F27" s="42">
        <f>E27*$L$10*0.95</f>
        <v>0</v>
      </c>
      <c r="G27" s="39" t="s">
        <v>0</v>
      </c>
      <c r="H27" s="39"/>
      <c r="I27" s="39">
        <f t="shared" si="5"/>
        <v>0</v>
      </c>
      <c r="J27" s="39">
        <f t="shared" si="6"/>
        <v>0</v>
      </c>
      <c r="K27" s="39">
        <f t="shared" si="4"/>
        <v>0</v>
      </c>
    </row>
    <row r="28" s="34" customFormat="1" spans="1:12">
      <c r="A28" s="39">
        <v>21</v>
      </c>
      <c r="B28" s="39"/>
      <c r="C28" s="41" t="s">
        <v>180</v>
      </c>
      <c r="D28" s="41" t="s">
        <v>181</v>
      </c>
      <c r="E28" s="40"/>
      <c r="F28" s="39" t="s">
        <v>0</v>
      </c>
      <c r="G28" s="42">
        <f>E28*0.95</f>
        <v>0</v>
      </c>
      <c r="H28" s="39"/>
      <c r="I28" s="39"/>
      <c r="J28" s="39"/>
      <c r="K28" s="39">
        <f t="shared" si="4"/>
        <v>0</v>
      </c>
      <c r="L28" s="34">
        <v>10533.6</v>
      </c>
    </row>
    <row r="29" s="34" customFormat="1" spans="1:13">
      <c r="A29" s="39">
        <v>22</v>
      </c>
      <c r="B29" s="39"/>
      <c r="C29" s="41" t="s">
        <v>182</v>
      </c>
      <c r="D29" s="41" t="s">
        <v>181</v>
      </c>
      <c r="E29" s="40"/>
      <c r="F29" s="39" t="s">
        <v>0</v>
      </c>
      <c r="G29" s="42">
        <f>E29*M29*0.95</f>
        <v>0</v>
      </c>
      <c r="H29" s="39"/>
      <c r="I29" s="39"/>
      <c r="J29" s="39"/>
      <c r="K29" s="39">
        <f t="shared" si="4"/>
        <v>0</v>
      </c>
      <c r="L29" s="34">
        <v>277.2</v>
      </c>
      <c r="M29" s="34">
        <v>3</v>
      </c>
    </row>
    <row r="30" spans="1:11">
      <c r="A30" s="39">
        <v>23</v>
      </c>
      <c r="B30" s="39" t="s">
        <v>355</v>
      </c>
      <c r="C30" s="41" t="s">
        <v>150</v>
      </c>
      <c r="D30" s="41" t="s">
        <v>121</v>
      </c>
      <c r="E30" s="39"/>
      <c r="F30" s="39">
        <f>SUM(F31:F32)</f>
        <v>0</v>
      </c>
      <c r="G30" s="39"/>
      <c r="H30" s="39"/>
      <c r="I30" s="39">
        <f t="shared" ref="I30:I31" si="7">ROUND(F30*0.02,2)</f>
        <v>0</v>
      </c>
      <c r="J30" s="39">
        <f t="shared" ref="J30:J31" si="8">ROUND(F30*0.05,2)</f>
        <v>0</v>
      </c>
      <c r="K30" s="39">
        <f t="shared" ref="K30:K46" si="9">SUM(F30:J30)</f>
        <v>0</v>
      </c>
    </row>
    <row r="31" spans="1:11">
      <c r="A31" s="39">
        <v>24</v>
      </c>
      <c r="B31" s="39"/>
      <c r="C31" s="41" t="s">
        <v>183</v>
      </c>
      <c r="D31" s="41" t="s">
        <v>170</v>
      </c>
      <c r="E31" s="40"/>
      <c r="F31" s="42">
        <f>E31*$L$10*0.95</f>
        <v>0</v>
      </c>
      <c r="G31" s="39"/>
      <c r="H31" s="39" t="s">
        <v>0</v>
      </c>
      <c r="I31" s="39">
        <f t="shared" si="7"/>
        <v>0</v>
      </c>
      <c r="J31" s="39">
        <f t="shared" si="8"/>
        <v>0</v>
      </c>
      <c r="K31" s="39">
        <f t="shared" si="9"/>
        <v>0</v>
      </c>
    </row>
    <row r="32" spans="1:11">
      <c r="A32" s="39">
        <v>25</v>
      </c>
      <c r="B32" s="39"/>
      <c r="C32" s="41" t="s">
        <v>184</v>
      </c>
      <c r="D32" s="41" t="s">
        <v>185</v>
      </c>
      <c r="E32" s="39"/>
      <c r="F32" s="39"/>
      <c r="G32" s="39"/>
      <c r="H32" s="39"/>
      <c r="I32" s="39"/>
      <c r="J32" s="39"/>
      <c r="K32" s="39"/>
    </row>
    <row r="33" ht="26.4" customHeight="1" spans="1:11">
      <c r="A33" s="36" t="s">
        <v>0</v>
      </c>
      <c r="B33" s="36" t="s">
        <v>0</v>
      </c>
      <c r="C33" s="37" t="s">
        <v>307</v>
      </c>
      <c r="D33" s="37" t="s">
        <v>0</v>
      </c>
      <c r="E33" s="37" t="s">
        <v>0</v>
      </c>
      <c r="F33" s="37" t="s">
        <v>0</v>
      </c>
      <c r="G33" s="37" t="s">
        <v>0</v>
      </c>
      <c r="H33" s="37" t="s">
        <v>0</v>
      </c>
      <c r="I33" s="37" t="s">
        <v>0</v>
      </c>
      <c r="J33" s="43" t="s">
        <v>416</v>
      </c>
      <c r="K33" s="43" t="s">
        <v>0</v>
      </c>
    </row>
    <row r="34" spans="1:11">
      <c r="A34" s="38" t="s">
        <v>130</v>
      </c>
      <c r="B34" s="38" t="s">
        <v>0</v>
      </c>
      <c r="C34" s="38" t="s">
        <v>0</v>
      </c>
      <c r="D34" s="38" t="s">
        <v>0</v>
      </c>
      <c r="E34" s="38" t="s">
        <v>0</v>
      </c>
      <c r="F34" s="38" t="s">
        <v>0</v>
      </c>
      <c r="G34" s="38" t="s">
        <v>0</v>
      </c>
      <c r="H34" s="38" t="s">
        <v>0</v>
      </c>
      <c r="I34" s="38" t="s">
        <v>0</v>
      </c>
      <c r="J34" s="38" t="s">
        <v>0</v>
      </c>
      <c r="K34" s="38" t="s">
        <v>0</v>
      </c>
    </row>
    <row r="35" spans="1:11">
      <c r="A35" s="39">
        <v>26</v>
      </c>
      <c r="B35" s="39" t="s">
        <v>356</v>
      </c>
      <c r="C35" s="41" t="s">
        <v>152</v>
      </c>
      <c r="D35" s="41" t="s">
        <v>121</v>
      </c>
      <c r="E35" s="39"/>
      <c r="F35" s="39">
        <f>SUM(F36:F38)</f>
        <v>0</v>
      </c>
      <c r="G35" s="39">
        <f>SUM(G36:G38)</f>
        <v>0</v>
      </c>
      <c r="H35" s="39"/>
      <c r="I35" s="39">
        <f>ROUND(F35*0.02,2)</f>
        <v>0</v>
      </c>
      <c r="J35" s="39">
        <f>ROUND(F35*0.05,2)</f>
        <v>0</v>
      </c>
      <c r="K35" s="39">
        <f t="shared" si="9"/>
        <v>0</v>
      </c>
    </row>
    <row r="36" spans="1:11">
      <c r="A36" s="39">
        <v>27</v>
      </c>
      <c r="B36" s="39"/>
      <c r="C36" s="41" t="s">
        <v>152</v>
      </c>
      <c r="D36" s="41" t="s">
        <v>170</v>
      </c>
      <c r="E36" s="40"/>
      <c r="F36" s="42">
        <f>E36*$L$10*0.95</f>
        <v>0</v>
      </c>
      <c r="G36" s="39" t="s">
        <v>0</v>
      </c>
      <c r="H36" s="39"/>
      <c r="I36" s="39">
        <f>ROUND(F36*0.02,2)</f>
        <v>0</v>
      </c>
      <c r="J36" s="39">
        <f>ROUND(F36*0.05,2)</f>
        <v>0</v>
      </c>
      <c r="K36" s="39">
        <f t="shared" si="9"/>
        <v>0</v>
      </c>
    </row>
    <row r="37" spans="1:12">
      <c r="A37" s="39">
        <v>28</v>
      </c>
      <c r="B37" s="39"/>
      <c r="C37" s="41" t="s">
        <v>415</v>
      </c>
      <c r="D37" s="41" t="s">
        <v>177</v>
      </c>
      <c r="E37" s="40"/>
      <c r="F37" s="39" t="s">
        <v>0</v>
      </c>
      <c r="G37" s="42">
        <f>E37*L37*0.95</f>
        <v>0</v>
      </c>
      <c r="H37" s="39"/>
      <c r="I37" s="39"/>
      <c r="J37" s="39"/>
      <c r="K37" s="39">
        <f t="shared" si="9"/>
        <v>0</v>
      </c>
      <c r="L37">
        <v>3.83</v>
      </c>
    </row>
    <row r="38" spans="1:12">
      <c r="A38" s="39">
        <v>29</v>
      </c>
      <c r="B38" s="39"/>
      <c r="C38" s="41" t="s">
        <v>178</v>
      </c>
      <c r="D38" s="41" t="s">
        <v>177</v>
      </c>
      <c r="E38" s="40"/>
      <c r="F38" s="39" t="s">
        <v>0</v>
      </c>
      <c r="G38" s="42">
        <f>E38*L38*0.95</f>
        <v>0</v>
      </c>
      <c r="H38" s="39" t="s">
        <v>0</v>
      </c>
      <c r="I38" s="39"/>
      <c r="J38" s="39"/>
      <c r="K38" s="39">
        <f t="shared" si="9"/>
        <v>0</v>
      </c>
      <c r="L38">
        <v>4.83</v>
      </c>
    </row>
    <row r="39" spans="1:11">
      <c r="A39" s="39">
        <v>30</v>
      </c>
      <c r="B39" s="39" t="s">
        <v>357</v>
      </c>
      <c r="C39" s="41" t="s">
        <v>154</v>
      </c>
      <c r="D39" s="41" t="s">
        <v>121</v>
      </c>
      <c r="E39" s="39"/>
      <c r="F39" s="39">
        <f>SUM(F40:F41)</f>
        <v>0</v>
      </c>
      <c r="G39" s="39">
        <f>SUM(G40:G41)</f>
        <v>0</v>
      </c>
      <c r="H39" s="39"/>
      <c r="I39" s="39">
        <f>ROUND(F39*0.02,2)</f>
        <v>0</v>
      </c>
      <c r="J39" s="39">
        <f>ROUND(F39*0.05,2)</f>
        <v>0</v>
      </c>
      <c r="K39" s="39">
        <f t="shared" si="9"/>
        <v>0</v>
      </c>
    </row>
    <row r="40" spans="1:11">
      <c r="A40" s="39">
        <v>31</v>
      </c>
      <c r="B40" s="39"/>
      <c r="C40" s="41" t="s">
        <v>154</v>
      </c>
      <c r="D40" s="41" t="s">
        <v>170</v>
      </c>
      <c r="E40" s="40"/>
      <c r="F40" s="42">
        <f>E40*$L$10*0.95</f>
        <v>0</v>
      </c>
      <c r="G40" s="39" t="s">
        <v>0</v>
      </c>
      <c r="H40" s="39"/>
      <c r="I40" s="39">
        <f>ROUND(F40*0.02,2)</f>
        <v>0</v>
      </c>
      <c r="J40" s="39">
        <f>ROUND(F40*0.05,2)</f>
        <v>0</v>
      </c>
      <c r="K40" s="39">
        <f t="shared" si="9"/>
        <v>0</v>
      </c>
    </row>
    <row r="41" s="34" customFormat="1" spans="1:13">
      <c r="A41" s="39">
        <v>32</v>
      </c>
      <c r="B41" s="39"/>
      <c r="C41" s="41" t="s">
        <v>182</v>
      </c>
      <c r="D41" s="41" t="s">
        <v>181</v>
      </c>
      <c r="E41" s="40"/>
      <c r="F41" s="39" t="s">
        <v>0</v>
      </c>
      <c r="G41" s="42">
        <f>E41*M41*0.95</f>
        <v>0</v>
      </c>
      <c r="H41" s="39"/>
      <c r="I41" s="39"/>
      <c r="J41" s="39"/>
      <c r="K41" s="39">
        <f t="shared" si="9"/>
        <v>0</v>
      </c>
      <c r="L41" s="34">
        <v>5654.88</v>
      </c>
      <c r="M41" s="34">
        <v>3</v>
      </c>
    </row>
    <row r="42" spans="1:11">
      <c r="A42" s="39">
        <v>33</v>
      </c>
      <c r="B42" s="39" t="s">
        <v>358</v>
      </c>
      <c r="C42" s="41" t="s">
        <v>156</v>
      </c>
      <c r="D42" s="41" t="s">
        <v>121</v>
      </c>
      <c r="E42" s="39"/>
      <c r="F42" s="39">
        <f>SUM(F43:F44)</f>
        <v>0</v>
      </c>
      <c r="G42" s="39">
        <f>SUM(G43:G44)</f>
        <v>0</v>
      </c>
      <c r="H42" s="39"/>
      <c r="I42" s="39">
        <f t="shared" ref="I41:I43" si="10">ROUND(F42*0.02,2)</f>
        <v>0</v>
      </c>
      <c r="J42" s="39">
        <f t="shared" ref="J41:J43" si="11">ROUND(F42*0.05,2)</f>
        <v>0</v>
      </c>
      <c r="K42" s="39">
        <f t="shared" si="9"/>
        <v>0</v>
      </c>
    </row>
    <row r="43" spans="1:11">
      <c r="A43" s="39">
        <v>34</v>
      </c>
      <c r="B43" s="39"/>
      <c r="C43" s="41" t="s">
        <v>156</v>
      </c>
      <c r="D43" s="41" t="s">
        <v>170</v>
      </c>
      <c r="E43" s="40"/>
      <c r="F43" s="42">
        <f>E43*$L$10*0.95</f>
        <v>0</v>
      </c>
      <c r="G43" s="39" t="s">
        <v>0</v>
      </c>
      <c r="H43" s="39"/>
      <c r="I43" s="39">
        <f t="shared" si="10"/>
        <v>0</v>
      </c>
      <c r="J43" s="39">
        <f t="shared" si="11"/>
        <v>0</v>
      </c>
      <c r="K43" s="39">
        <f t="shared" si="9"/>
        <v>0</v>
      </c>
    </row>
    <row r="44" s="34" customFormat="1" spans="1:13">
      <c r="A44" s="39">
        <v>35</v>
      </c>
      <c r="B44" s="39"/>
      <c r="C44" s="41" t="s">
        <v>187</v>
      </c>
      <c r="D44" s="41" t="s">
        <v>181</v>
      </c>
      <c r="E44" s="40"/>
      <c r="F44" s="39" t="s">
        <v>0</v>
      </c>
      <c r="G44" s="42">
        <f>E44*M44*0.95</f>
        <v>0</v>
      </c>
      <c r="H44" s="39"/>
      <c r="I44" s="39"/>
      <c r="J44" s="39"/>
      <c r="K44" s="39">
        <f t="shared" si="9"/>
        <v>0</v>
      </c>
      <c r="L44" s="34">
        <v>166.32</v>
      </c>
      <c r="M44" s="34">
        <v>23.3</v>
      </c>
    </row>
    <row r="45" spans="1:11">
      <c r="A45" s="39">
        <v>36</v>
      </c>
      <c r="B45" s="39" t="s">
        <v>359</v>
      </c>
      <c r="C45" s="41" t="s">
        <v>159</v>
      </c>
      <c r="D45" s="41" t="s">
        <v>121</v>
      </c>
      <c r="E45" s="39"/>
      <c r="F45" s="39">
        <f>F46</f>
        <v>0</v>
      </c>
      <c r="G45" s="39" t="s">
        <v>0</v>
      </c>
      <c r="H45" s="39" t="s">
        <v>0</v>
      </c>
      <c r="I45" s="39">
        <f t="shared" ref="I45:I46" si="12">ROUND(F45*0.02,2)</f>
        <v>0</v>
      </c>
      <c r="J45" s="39">
        <f t="shared" ref="J45:J46" si="13">ROUND(F45*0.05,2)</f>
        <v>0</v>
      </c>
      <c r="K45" s="39">
        <f t="shared" si="9"/>
        <v>0</v>
      </c>
    </row>
    <row r="46" spans="1:12">
      <c r="A46" s="39">
        <v>37</v>
      </c>
      <c r="B46" s="39"/>
      <c r="C46" s="41" t="s">
        <v>159</v>
      </c>
      <c r="D46" s="41" t="s">
        <v>121</v>
      </c>
      <c r="E46" s="40"/>
      <c r="F46" s="42">
        <f>E46*L46*0.95</f>
        <v>0</v>
      </c>
      <c r="G46" s="39"/>
      <c r="H46" s="39"/>
      <c r="I46" s="39">
        <f t="shared" si="12"/>
        <v>0</v>
      </c>
      <c r="J46" s="39">
        <f t="shared" si="13"/>
        <v>0</v>
      </c>
      <c r="K46" s="39">
        <f t="shared" si="9"/>
        <v>0</v>
      </c>
      <c r="L46">
        <v>32</v>
      </c>
    </row>
    <row r="47" spans="1:11">
      <c r="A47" s="39">
        <v>38</v>
      </c>
      <c r="B47" s="39"/>
      <c r="C47" s="41" t="s">
        <v>188</v>
      </c>
      <c r="D47" s="41" t="s">
        <v>189</v>
      </c>
      <c r="E47" s="39"/>
      <c r="F47" s="39"/>
      <c r="G47" s="39"/>
      <c r="H47" s="39"/>
      <c r="I47" s="39"/>
      <c r="J47" s="39"/>
      <c r="K47" s="39"/>
    </row>
    <row r="48" spans="1:11">
      <c r="A48" s="39">
        <v>39</v>
      </c>
      <c r="B48" s="39" t="s">
        <v>161</v>
      </c>
      <c r="C48" s="41" t="s">
        <v>162</v>
      </c>
      <c r="D48" s="41" t="s">
        <v>163</v>
      </c>
      <c r="E48" s="40">
        <v>0</v>
      </c>
      <c r="F48" s="42">
        <f>4265.82/39*E48*0.95</f>
        <v>0</v>
      </c>
      <c r="G48" s="39" t="s">
        <v>0</v>
      </c>
      <c r="H48" s="42">
        <f>11334.18/39*E48*0.95</f>
        <v>0</v>
      </c>
      <c r="I48" s="39">
        <f t="shared" ref="I48" si="14">ROUND(F48*0.02,2)</f>
        <v>0</v>
      </c>
      <c r="J48" s="39">
        <f t="shared" ref="J48" si="15">ROUND(F48*0.05,2)</f>
        <v>0</v>
      </c>
      <c r="K48" s="39">
        <f t="shared" ref="K47:K54" si="16">SUM(F48:J48)</f>
        <v>0</v>
      </c>
    </row>
    <row r="49" spans="1:11">
      <c r="A49" s="39">
        <v>40</v>
      </c>
      <c r="B49" s="39"/>
      <c r="C49" s="41" t="s">
        <v>190</v>
      </c>
      <c r="D49" s="41" t="s">
        <v>191</v>
      </c>
      <c r="E49" s="39"/>
      <c r="F49" s="39"/>
      <c r="G49" s="39"/>
      <c r="H49" s="42">
        <f>942.76/39*E48*0.95</f>
        <v>0</v>
      </c>
      <c r="I49" s="39"/>
      <c r="J49" s="39"/>
      <c r="K49" s="39">
        <f t="shared" si="16"/>
        <v>0</v>
      </c>
    </row>
    <row r="50" spans="1:11">
      <c r="A50" s="39">
        <v>41</v>
      </c>
      <c r="B50" s="39"/>
      <c r="C50" s="41" t="s">
        <v>192</v>
      </c>
      <c r="D50" s="41" t="s">
        <v>191</v>
      </c>
      <c r="E50" s="39"/>
      <c r="F50" s="39"/>
      <c r="G50" s="39"/>
      <c r="H50" s="42">
        <f>334.87/39*E48*0.95</f>
        <v>0</v>
      </c>
      <c r="I50" s="39"/>
      <c r="J50" s="39"/>
      <c r="K50" s="39">
        <f t="shared" si="16"/>
        <v>0</v>
      </c>
    </row>
    <row r="51" spans="1:11">
      <c r="A51" s="39">
        <v>42</v>
      </c>
      <c r="B51" s="39"/>
      <c r="C51" s="41" t="s">
        <v>193</v>
      </c>
      <c r="D51" s="41" t="s">
        <v>191</v>
      </c>
      <c r="E51" s="39"/>
      <c r="F51" s="39"/>
      <c r="G51" s="39"/>
      <c r="H51" s="42">
        <f>706.72/39*E48*0.95</f>
        <v>0</v>
      </c>
      <c r="I51" s="39"/>
      <c r="J51" s="39"/>
      <c r="K51" s="39">
        <f t="shared" si="16"/>
        <v>0</v>
      </c>
    </row>
    <row r="52" spans="1:11">
      <c r="A52" s="39">
        <v>43</v>
      </c>
      <c r="B52" s="39"/>
      <c r="C52" s="41" t="s">
        <v>194</v>
      </c>
      <c r="D52" s="41" t="s">
        <v>170</v>
      </c>
      <c r="E52" s="39"/>
      <c r="F52" s="42">
        <f>4265.82/39*E48*0.95</f>
        <v>0</v>
      </c>
      <c r="G52" s="39"/>
      <c r="H52" s="42"/>
      <c r="I52" s="39">
        <f>ROUND(F52*0.02,2)</f>
        <v>0</v>
      </c>
      <c r="J52" s="39">
        <f>ROUND(F52*0.05,2)</f>
        <v>0</v>
      </c>
      <c r="K52" s="39">
        <f t="shared" si="16"/>
        <v>0</v>
      </c>
    </row>
    <row r="53" spans="1:11">
      <c r="A53" s="39">
        <v>44</v>
      </c>
      <c r="B53" s="39"/>
      <c r="C53" s="41" t="s">
        <v>195</v>
      </c>
      <c r="D53" s="41" t="s">
        <v>196</v>
      </c>
      <c r="E53" s="39"/>
      <c r="F53" s="39"/>
      <c r="G53" s="39"/>
      <c r="H53" s="42">
        <f>9349.83/39*E48*0.95</f>
        <v>0</v>
      </c>
      <c r="I53" s="39"/>
      <c r="J53" s="39"/>
      <c r="K53" s="39">
        <f t="shared" si="16"/>
        <v>0</v>
      </c>
    </row>
    <row r="54" spans="1:13">
      <c r="A54" s="39" t="s">
        <v>9</v>
      </c>
      <c r="B54" s="39" t="s">
        <v>9</v>
      </c>
      <c r="C54" s="39" t="s">
        <v>164</v>
      </c>
      <c r="D54" s="39"/>
      <c r="E54" s="39"/>
      <c r="F54" s="39">
        <f>SUM(F8,F19,F26,F30,F35,F39,F42,F45,F48,)</f>
        <v>0</v>
      </c>
      <c r="G54" s="39">
        <f t="shared" ref="F54:J54" si="17">SUM(G8,G19,G26,G30,G35,G39,G42,G45,G48,)</f>
        <v>0</v>
      </c>
      <c r="H54" s="39">
        <f t="shared" si="17"/>
        <v>0</v>
      </c>
      <c r="I54" s="39">
        <f t="shared" si="17"/>
        <v>0</v>
      </c>
      <c r="J54" s="39">
        <f t="shared" si="17"/>
        <v>0</v>
      </c>
      <c r="K54" s="39">
        <f t="shared" si="16"/>
        <v>0</v>
      </c>
      <c r="M54" t="e">
        <f>ROUND(K54/E45,2)</f>
        <v>#DIV/0!</v>
      </c>
    </row>
    <row r="55" ht="118.2" customHeight="1"/>
    <row r="56" customHeight="1" spans="7:11">
      <c r="G56" s="20" t="s">
        <v>29</v>
      </c>
      <c r="H56" s="20" t="s">
        <v>0</v>
      </c>
      <c r="I56" s="20" t="s">
        <v>0</v>
      </c>
      <c r="J56" s="20" t="s">
        <v>0</v>
      </c>
      <c r="K56" s="20" t="s">
        <v>0</v>
      </c>
    </row>
    <row r="57" ht="24.6" customHeight="1" spans="1:11">
      <c r="A57" s="36" t="s">
        <v>0</v>
      </c>
      <c r="B57" s="36" t="s">
        <v>0</v>
      </c>
      <c r="C57" s="37" t="s">
        <v>307</v>
      </c>
      <c r="D57" s="37" t="s">
        <v>0</v>
      </c>
      <c r="E57" s="37" t="s">
        <v>0</v>
      </c>
      <c r="F57" s="37" t="s">
        <v>0</v>
      </c>
      <c r="G57" s="37" t="s">
        <v>0</v>
      </c>
      <c r="H57" s="37" t="s">
        <v>0</v>
      </c>
      <c r="I57" s="37" t="s">
        <v>0</v>
      </c>
      <c r="J57" s="43" t="s">
        <v>417</v>
      </c>
      <c r="K57" s="43" t="s">
        <v>0</v>
      </c>
    </row>
    <row r="58" spans="1:11">
      <c r="A58" s="38" t="s">
        <v>130</v>
      </c>
      <c r="B58" s="38" t="s">
        <v>0</v>
      </c>
      <c r="C58" s="38" t="s">
        <v>0</v>
      </c>
      <c r="D58" s="38" t="s">
        <v>0</v>
      </c>
      <c r="E58" s="38" t="s">
        <v>0</v>
      </c>
      <c r="F58" s="38" t="s">
        <v>0</v>
      </c>
      <c r="G58" s="38" t="s">
        <v>0</v>
      </c>
      <c r="H58" s="38" t="s">
        <v>0</v>
      </c>
      <c r="I58" s="38" t="s">
        <v>0</v>
      </c>
      <c r="J58" s="38" t="s">
        <v>0</v>
      </c>
      <c r="K58" s="38" t="s">
        <v>0</v>
      </c>
    </row>
    <row r="59" spans="1:11">
      <c r="A59" s="20" t="s">
        <v>24</v>
      </c>
      <c r="B59" s="20" t="s">
        <v>0</v>
      </c>
      <c r="C59" s="13" t="s">
        <v>347</v>
      </c>
      <c r="D59" s="13" t="s">
        <v>0</v>
      </c>
      <c r="E59" s="13" t="s">
        <v>0</v>
      </c>
      <c r="F59" s="13" t="s">
        <v>0</v>
      </c>
      <c r="G59" s="13" t="s">
        <v>0</v>
      </c>
      <c r="H59" s="13" t="s">
        <v>0</v>
      </c>
      <c r="I59" s="13" t="s">
        <v>0</v>
      </c>
      <c r="J59" s="13" t="s">
        <v>132</v>
      </c>
      <c r="K59" s="13" t="s">
        <v>0</v>
      </c>
    </row>
    <row r="60" spans="1:11">
      <c r="A60" s="20" t="s">
        <v>133</v>
      </c>
      <c r="B60" s="20" t="s">
        <v>0</v>
      </c>
      <c r="C60" s="13" t="s">
        <v>418</v>
      </c>
      <c r="D60" s="13" t="s">
        <v>0</v>
      </c>
      <c r="E60" s="13" t="s">
        <v>0</v>
      </c>
      <c r="F60" s="13" t="s">
        <v>0</v>
      </c>
      <c r="G60" s="13" t="s">
        <v>0</v>
      </c>
      <c r="H60" s="13" t="s">
        <v>0</v>
      </c>
      <c r="I60" s="13" t="s">
        <v>0</v>
      </c>
      <c r="J60" s="13" t="s">
        <v>362</v>
      </c>
      <c r="K60" s="13" t="s">
        <v>0</v>
      </c>
    </row>
    <row r="61" spans="1:11">
      <c r="A61" s="20" t="s">
        <v>136</v>
      </c>
      <c r="B61" s="20" t="s">
        <v>0</v>
      </c>
      <c r="C61" s="13" t="s">
        <v>363</v>
      </c>
      <c r="D61" s="13" t="s">
        <v>0</v>
      </c>
      <c r="E61" s="13" t="s">
        <v>0</v>
      </c>
      <c r="F61" s="13" t="s">
        <v>0</v>
      </c>
      <c r="G61" s="13" t="s">
        <v>0</v>
      </c>
      <c r="H61" s="13" t="s">
        <v>0</v>
      </c>
      <c r="I61" s="13" t="s">
        <v>0</v>
      </c>
      <c r="J61" s="13" t="e">
        <f>"综合单价："&amp;$M$110&amp;"元 "</f>
        <v>#DIV/0!</v>
      </c>
      <c r="K61" s="13" t="s">
        <v>0</v>
      </c>
    </row>
    <row r="62" spans="1:11">
      <c r="A62" s="39" t="s">
        <v>32</v>
      </c>
      <c r="B62" s="39" t="s">
        <v>138</v>
      </c>
      <c r="C62" s="39" t="s">
        <v>139</v>
      </c>
      <c r="D62" s="39" t="s">
        <v>110</v>
      </c>
      <c r="E62" s="39" t="s">
        <v>140</v>
      </c>
      <c r="F62" s="39" t="s">
        <v>414</v>
      </c>
      <c r="G62" s="39" t="s">
        <v>0</v>
      </c>
      <c r="H62" s="39" t="s">
        <v>0</v>
      </c>
      <c r="I62" s="39" t="s">
        <v>0</v>
      </c>
      <c r="J62" s="39" t="s">
        <v>0</v>
      </c>
      <c r="K62" s="39" t="s">
        <v>0</v>
      </c>
    </row>
    <row r="63" spans="1:11">
      <c r="A63" s="39" t="s">
        <v>0</v>
      </c>
      <c r="B63" s="39" t="s">
        <v>0</v>
      </c>
      <c r="C63" s="39" t="s">
        <v>0</v>
      </c>
      <c r="D63" s="39" t="s">
        <v>0</v>
      </c>
      <c r="E63" s="39" t="s">
        <v>0</v>
      </c>
      <c r="F63" s="39" t="s">
        <v>115</v>
      </c>
      <c r="G63" s="39" t="s">
        <v>116</v>
      </c>
      <c r="H63" s="39" t="s">
        <v>117</v>
      </c>
      <c r="I63" s="39" t="s">
        <v>118</v>
      </c>
      <c r="J63" s="39" t="s">
        <v>119</v>
      </c>
      <c r="K63" s="39" t="s">
        <v>142</v>
      </c>
    </row>
    <row r="64" spans="1:11">
      <c r="A64" s="39" t="s">
        <v>53</v>
      </c>
      <c r="B64" s="39" t="s">
        <v>364</v>
      </c>
      <c r="C64" s="39" t="s">
        <v>352</v>
      </c>
      <c r="D64" s="39" t="s">
        <v>121</v>
      </c>
      <c r="E64" s="39"/>
      <c r="F64" s="39">
        <f>SUM(F65:F74)</f>
        <v>0</v>
      </c>
      <c r="G64" s="39" t="s">
        <v>0</v>
      </c>
      <c r="H64" s="39" t="s">
        <v>0</v>
      </c>
      <c r="I64" s="39">
        <f>SUM(I65:I74)</f>
        <v>0</v>
      </c>
      <c r="J64" s="39">
        <f>SUM(J65:J74)</f>
        <v>0</v>
      </c>
      <c r="K64" s="39">
        <f>SUM(F64:J64)</f>
        <v>0</v>
      </c>
    </row>
    <row r="65" spans="1:11">
      <c r="A65" s="39" t="s">
        <v>60</v>
      </c>
      <c r="B65" s="39"/>
      <c r="C65" s="39" t="s">
        <v>320</v>
      </c>
      <c r="D65" s="39" t="s">
        <v>170</v>
      </c>
      <c r="E65" s="40"/>
      <c r="F65" s="42">
        <f>E65*$L$9*0.95</f>
        <v>0</v>
      </c>
      <c r="G65" s="39"/>
      <c r="H65" s="39"/>
      <c r="I65" s="39">
        <f>ROUND(F65*0.02,2)</f>
        <v>0</v>
      </c>
      <c r="J65" s="39">
        <f>ROUND(F65*0.05,2)</f>
        <v>0</v>
      </c>
      <c r="K65" s="39">
        <f t="shared" ref="K65:K75" si="18">SUM(F65:J65)</f>
        <v>0</v>
      </c>
    </row>
    <row r="66" spans="1:11">
      <c r="A66" s="39" t="s">
        <v>64</v>
      </c>
      <c r="B66" s="39"/>
      <c r="C66" s="39" t="s">
        <v>169</v>
      </c>
      <c r="D66" s="39" t="s">
        <v>170</v>
      </c>
      <c r="E66" s="40"/>
      <c r="F66" s="42">
        <f>E66*$L$9*0.95</f>
        <v>0</v>
      </c>
      <c r="G66" s="39"/>
      <c r="H66" s="39"/>
      <c r="I66" s="39">
        <f>ROUND(F66*0.02,2)</f>
        <v>0</v>
      </c>
      <c r="J66" s="39">
        <f>ROUND(F66*0.05,2)</f>
        <v>0</v>
      </c>
      <c r="K66" s="39">
        <f t="shared" si="18"/>
        <v>0</v>
      </c>
    </row>
    <row r="67" spans="1:11">
      <c r="A67" s="39" t="s">
        <v>74</v>
      </c>
      <c r="B67" s="39"/>
      <c r="C67" s="39" t="s">
        <v>321</v>
      </c>
      <c r="D67" s="39" t="s">
        <v>170</v>
      </c>
      <c r="E67" s="40"/>
      <c r="F67" s="42">
        <f>E67*$L$9*0.95</f>
        <v>0</v>
      </c>
      <c r="G67" s="39"/>
      <c r="H67" s="39"/>
      <c r="I67" s="39">
        <f t="shared" ref="I67:I74" si="19">ROUND(F67*0.02,2)</f>
        <v>0</v>
      </c>
      <c r="J67" s="39">
        <f t="shared" ref="J67:J74" si="20">ROUND(F67*0.05,2)</f>
        <v>0</v>
      </c>
      <c r="K67" s="39">
        <f t="shared" si="18"/>
        <v>0</v>
      </c>
    </row>
    <row r="68" spans="1:11">
      <c r="A68" s="39" t="s">
        <v>75</v>
      </c>
      <c r="B68" s="39"/>
      <c r="C68" s="39" t="s">
        <v>322</v>
      </c>
      <c r="D68" s="39" t="s">
        <v>170</v>
      </c>
      <c r="E68" s="40"/>
      <c r="F68" s="42">
        <f t="shared" ref="F68:F74" si="21">E68*$L$10*0.95</f>
        <v>0</v>
      </c>
      <c r="G68" s="39"/>
      <c r="H68" s="39"/>
      <c r="I68" s="39">
        <f t="shared" si="19"/>
        <v>0</v>
      </c>
      <c r="J68" s="39">
        <f t="shared" si="20"/>
        <v>0</v>
      </c>
      <c r="K68" s="39">
        <f t="shared" si="18"/>
        <v>0</v>
      </c>
    </row>
    <row r="69" spans="1:11">
      <c r="A69" s="39" t="s">
        <v>77</v>
      </c>
      <c r="B69" s="39"/>
      <c r="C69" s="39" t="s">
        <v>323</v>
      </c>
      <c r="D69" s="39" t="s">
        <v>170</v>
      </c>
      <c r="E69" s="40"/>
      <c r="F69" s="42">
        <f t="shared" si="21"/>
        <v>0</v>
      </c>
      <c r="G69" s="39"/>
      <c r="H69" s="39"/>
      <c r="I69" s="39">
        <f t="shared" si="19"/>
        <v>0</v>
      </c>
      <c r="J69" s="39">
        <f t="shared" si="20"/>
        <v>0</v>
      </c>
      <c r="K69" s="39">
        <f t="shared" si="18"/>
        <v>0</v>
      </c>
    </row>
    <row r="70" spans="1:11">
      <c r="A70" s="39" t="s">
        <v>81</v>
      </c>
      <c r="B70" s="39"/>
      <c r="C70" s="39" t="s">
        <v>324</v>
      </c>
      <c r="D70" s="39" t="s">
        <v>170</v>
      </c>
      <c r="E70" s="40"/>
      <c r="F70" s="42">
        <f t="shared" si="21"/>
        <v>0</v>
      </c>
      <c r="G70" s="39"/>
      <c r="H70" s="39"/>
      <c r="I70" s="39">
        <f t="shared" si="19"/>
        <v>0</v>
      </c>
      <c r="J70" s="39">
        <f t="shared" si="20"/>
        <v>0</v>
      </c>
      <c r="K70" s="39">
        <f t="shared" si="18"/>
        <v>0</v>
      </c>
    </row>
    <row r="71" spans="1:11">
      <c r="A71" s="39" t="s">
        <v>157</v>
      </c>
      <c r="B71" s="39"/>
      <c r="C71" s="39" t="s">
        <v>325</v>
      </c>
      <c r="D71" s="39" t="s">
        <v>170</v>
      </c>
      <c r="E71" s="40"/>
      <c r="F71" s="42">
        <f t="shared" si="21"/>
        <v>0</v>
      </c>
      <c r="G71" s="39"/>
      <c r="H71" s="39"/>
      <c r="I71" s="39">
        <f t="shared" si="19"/>
        <v>0</v>
      </c>
      <c r="J71" s="39">
        <f t="shared" si="20"/>
        <v>0</v>
      </c>
      <c r="K71" s="39">
        <f t="shared" si="18"/>
        <v>0</v>
      </c>
    </row>
    <row r="72" spans="1:11">
      <c r="A72" s="39" t="s">
        <v>160</v>
      </c>
      <c r="B72" s="39"/>
      <c r="C72" s="39" t="s">
        <v>326</v>
      </c>
      <c r="D72" s="39" t="s">
        <v>170</v>
      </c>
      <c r="E72" s="40"/>
      <c r="F72" s="42">
        <f t="shared" si="21"/>
        <v>0</v>
      </c>
      <c r="G72" s="39"/>
      <c r="H72" s="39" t="s">
        <v>0</v>
      </c>
      <c r="I72" s="39">
        <f t="shared" si="19"/>
        <v>0</v>
      </c>
      <c r="J72" s="39">
        <f t="shared" si="20"/>
        <v>0</v>
      </c>
      <c r="K72" s="39">
        <f t="shared" si="18"/>
        <v>0</v>
      </c>
    </row>
    <row r="73" spans="1:11">
      <c r="A73" s="39" t="s">
        <v>278</v>
      </c>
      <c r="B73" s="39"/>
      <c r="C73" s="39" t="s">
        <v>171</v>
      </c>
      <c r="D73" s="39" t="s">
        <v>170</v>
      </c>
      <c r="E73" s="40"/>
      <c r="F73" s="42">
        <f t="shared" si="21"/>
        <v>0</v>
      </c>
      <c r="G73" s="39"/>
      <c r="H73" s="39"/>
      <c r="I73" s="39">
        <f t="shared" si="19"/>
        <v>0</v>
      </c>
      <c r="J73" s="39">
        <f t="shared" si="20"/>
        <v>0</v>
      </c>
      <c r="K73" s="39">
        <f t="shared" si="18"/>
        <v>0</v>
      </c>
    </row>
    <row r="74" spans="1:11">
      <c r="A74" s="39" t="s">
        <v>280</v>
      </c>
      <c r="B74" s="39"/>
      <c r="C74" s="39" t="s">
        <v>172</v>
      </c>
      <c r="D74" s="39" t="s">
        <v>170</v>
      </c>
      <c r="E74" s="40"/>
      <c r="F74" s="42">
        <f t="shared" si="21"/>
        <v>0</v>
      </c>
      <c r="G74" s="39"/>
      <c r="H74" s="39"/>
      <c r="I74" s="39">
        <f t="shared" si="19"/>
        <v>0</v>
      </c>
      <c r="J74" s="39">
        <f t="shared" si="20"/>
        <v>0</v>
      </c>
      <c r="K74" s="39">
        <f t="shared" si="18"/>
        <v>0</v>
      </c>
    </row>
    <row r="75" spans="1:11">
      <c r="A75" s="39" t="s">
        <v>282</v>
      </c>
      <c r="B75" s="39" t="s">
        <v>365</v>
      </c>
      <c r="C75" s="39" t="s">
        <v>146</v>
      </c>
      <c r="D75" s="39" t="s">
        <v>121</v>
      </c>
      <c r="E75" s="39"/>
      <c r="F75" s="39">
        <f>SUM(F76:F81)</f>
        <v>0</v>
      </c>
      <c r="G75" s="39">
        <f>SUM(G76:G81)</f>
        <v>0</v>
      </c>
      <c r="H75" s="39"/>
      <c r="I75" s="39">
        <f t="shared" ref="I74:I78" si="22">ROUND(F75*0.02,2)</f>
        <v>0</v>
      </c>
      <c r="J75" s="39">
        <f t="shared" ref="J74:J78" si="23">ROUND(F75*0.05,2)</f>
        <v>0</v>
      </c>
      <c r="K75" s="39">
        <f t="shared" si="18"/>
        <v>0</v>
      </c>
    </row>
    <row r="76" spans="1:11">
      <c r="A76" s="39" t="s">
        <v>284</v>
      </c>
      <c r="B76" s="39"/>
      <c r="C76" s="39" t="s">
        <v>173</v>
      </c>
      <c r="D76" s="39" t="s">
        <v>170</v>
      </c>
      <c r="E76" s="40"/>
      <c r="F76" s="42">
        <f>E76*$L$10*0.95</f>
        <v>0</v>
      </c>
      <c r="G76" s="39" t="s">
        <v>0</v>
      </c>
      <c r="H76" s="39"/>
      <c r="I76" s="39">
        <f t="shared" si="22"/>
        <v>0</v>
      </c>
      <c r="J76" s="39">
        <f t="shared" si="23"/>
        <v>0</v>
      </c>
      <c r="K76" s="39">
        <f t="shared" ref="K76:K87" si="24">SUM(F76:J76)</f>
        <v>0</v>
      </c>
    </row>
    <row r="77" spans="1:11">
      <c r="A77" s="39" t="s">
        <v>286</v>
      </c>
      <c r="B77" s="39"/>
      <c r="C77" s="39" t="s">
        <v>174</v>
      </c>
      <c r="D77" s="39" t="s">
        <v>170</v>
      </c>
      <c r="E77" s="40"/>
      <c r="F77" s="42">
        <f>E77*$L$10*0.95</f>
        <v>0</v>
      </c>
      <c r="G77" s="39" t="s">
        <v>0</v>
      </c>
      <c r="H77" s="39"/>
      <c r="I77" s="39">
        <f t="shared" si="22"/>
        <v>0</v>
      </c>
      <c r="J77" s="39">
        <f t="shared" si="23"/>
        <v>0</v>
      </c>
      <c r="K77" s="39">
        <f t="shared" si="24"/>
        <v>0</v>
      </c>
    </row>
    <row r="78" spans="1:11">
      <c r="A78" s="39" t="s">
        <v>288</v>
      </c>
      <c r="B78" s="39"/>
      <c r="C78" s="39" t="s">
        <v>175</v>
      </c>
      <c r="D78" s="39" t="s">
        <v>170</v>
      </c>
      <c r="E78" s="40"/>
      <c r="F78" s="42">
        <f>E78*$L$10*0.95</f>
        <v>0</v>
      </c>
      <c r="G78" s="39" t="s">
        <v>0</v>
      </c>
      <c r="H78" s="39"/>
      <c r="I78" s="39">
        <f t="shared" si="22"/>
        <v>0</v>
      </c>
      <c r="J78" s="39">
        <f t="shared" si="23"/>
        <v>0</v>
      </c>
      <c r="K78" s="39">
        <f t="shared" si="24"/>
        <v>0</v>
      </c>
    </row>
    <row r="79" spans="1:12">
      <c r="A79" s="39" t="s">
        <v>291</v>
      </c>
      <c r="B79" s="39"/>
      <c r="C79" s="39" t="s">
        <v>415</v>
      </c>
      <c r="D79" s="39" t="s">
        <v>177</v>
      </c>
      <c r="E79" s="40"/>
      <c r="F79" s="39" t="s">
        <v>0</v>
      </c>
      <c r="G79" s="42">
        <f>E79*L79*0.95</f>
        <v>0</v>
      </c>
      <c r="H79" s="39"/>
      <c r="I79" s="39"/>
      <c r="J79" s="39"/>
      <c r="K79" s="39">
        <f t="shared" si="24"/>
        <v>0</v>
      </c>
      <c r="L79">
        <v>3.83</v>
      </c>
    </row>
    <row r="80" spans="1:12">
      <c r="A80" s="39" t="s">
        <v>293</v>
      </c>
      <c r="B80" s="39"/>
      <c r="C80" s="39" t="s">
        <v>178</v>
      </c>
      <c r="D80" s="39" t="s">
        <v>177</v>
      </c>
      <c r="E80" s="40"/>
      <c r="F80" s="39" t="s">
        <v>0</v>
      </c>
      <c r="G80" s="42">
        <f>E80*L80*0.95</f>
        <v>0</v>
      </c>
      <c r="H80" s="39" t="s">
        <v>0</v>
      </c>
      <c r="I80" s="39"/>
      <c r="J80" s="39"/>
      <c r="K80" s="39">
        <f t="shared" si="24"/>
        <v>0</v>
      </c>
      <c r="L80">
        <v>4.83</v>
      </c>
    </row>
    <row r="81" spans="1:11">
      <c r="A81" s="39" t="s">
        <v>296</v>
      </c>
      <c r="B81" s="39"/>
      <c r="C81" s="39" t="s">
        <v>179</v>
      </c>
      <c r="D81" s="39" t="s">
        <v>170</v>
      </c>
      <c r="E81" s="40"/>
      <c r="F81" s="42">
        <f>E81*$L$10*0.95</f>
        <v>0</v>
      </c>
      <c r="G81" s="39" t="s">
        <v>0</v>
      </c>
      <c r="H81" s="39"/>
      <c r="I81" s="39">
        <f>ROUND(F81*0.02,2)</f>
        <v>0</v>
      </c>
      <c r="J81" s="39">
        <f>ROUND(F81*0.05,2)</f>
        <v>0</v>
      </c>
      <c r="K81" s="39">
        <f t="shared" si="24"/>
        <v>0</v>
      </c>
    </row>
    <row r="82" spans="1:11">
      <c r="A82" s="39">
        <v>19</v>
      </c>
      <c r="B82" s="39" t="s">
        <v>366</v>
      </c>
      <c r="C82" s="39" t="s">
        <v>148</v>
      </c>
      <c r="D82" s="39" t="s">
        <v>121</v>
      </c>
      <c r="E82" s="39"/>
      <c r="F82" s="39">
        <f>SUM(F83:F85)</f>
        <v>0</v>
      </c>
      <c r="G82" s="39">
        <f>SUM(G83:G85)</f>
        <v>0</v>
      </c>
      <c r="H82" s="39" t="s">
        <v>0</v>
      </c>
      <c r="I82" s="39">
        <f t="shared" ref="I82:I83" si="25">ROUND(F82*0.02,2)</f>
        <v>0</v>
      </c>
      <c r="J82" s="39">
        <f t="shared" ref="J82:J83" si="26">ROUND(F82*0.05,2)</f>
        <v>0</v>
      </c>
      <c r="K82" s="39">
        <f t="shared" si="24"/>
        <v>0</v>
      </c>
    </row>
    <row r="83" spans="1:11">
      <c r="A83" s="39">
        <v>20</v>
      </c>
      <c r="B83" s="39"/>
      <c r="C83" s="39" t="s">
        <v>148</v>
      </c>
      <c r="D83" s="39" t="s">
        <v>170</v>
      </c>
      <c r="E83" s="40"/>
      <c r="F83" s="42">
        <f>E83*$L$10*0.95</f>
        <v>0</v>
      </c>
      <c r="G83" s="39" t="s">
        <v>0</v>
      </c>
      <c r="H83" s="39"/>
      <c r="I83" s="39">
        <f t="shared" si="25"/>
        <v>0</v>
      </c>
      <c r="J83" s="39">
        <f t="shared" si="26"/>
        <v>0</v>
      </c>
      <c r="K83" s="39">
        <f t="shared" si="24"/>
        <v>0</v>
      </c>
    </row>
    <row r="84" s="34" customFormat="1" spans="1:12">
      <c r="A84" s="39">
        <v>21</v>
      </c>
      <c r="B84" s="39"/>
      <c r="C84" s="39" t="s">
        <v>180</v>
      </c>
      <c r="D84" s="39" t="s">
        <v>181</v>
      </c>
      <c r="E84" s="40"/>
      <c r="F84" s="39" t="s">
        <v>0</v>
      </c>
      <c r="G84" s="42">
        <f>E84*0.95</f>
        <v>0</v>
      </c>
      <c r="H84" s="39"/>
      <c r="I84" s="39"/>
      <c r="J84" s="39"/>
      <c r="K84" s="39">
        <f t="shared" si="24"/>
        <v>0</v>
      </c>
      <c r="L84" s="34">
        <v>115789.8</v>
      </c>
    </row>
    <row r="85" s="34" customFormat="1" spans="1:13">
      <c r="A85" s="39">
        <v>22</v>
      </c>
      <c r="B85" s="39"/>
      <c r="C85" s="39" t="s">
        <v>182</v>
      </c>
      <c r="D85" s="39" t="s">
        <v>181</v>
      </c>
      <c r="E85" s="40"/>
      <c r="F85" s="39" t="s">
        <v>0</v>
      </c>
      <c r="G85" s="42">
        <f>E85*M85*0.95</f>
        <v>0</v>
      </c>
      <c r="H85" s="39"/>
      <c r="I85" s="39"/>
      <c r="J85" s="39"/>
      <c r="K85" s="39">
        <f t="shared" si="24"/>
        <v>0</v>
      </c>
      <c r="L85" s="34">
        <v>3047.1</v>
      </c>
      <c r="M85" s="34">
        <v>3</v>
      </c>
    </row>
    <row r="86" spans="1:11">
      <c r="A86" s="39">
        <v>23</v>
      </c>
      <c r="B86" s="39" t="s">
        <v>367</v>
      </c>
      <c r="C86" s="39" t="s">
        <v>150</v>
      </c>
      <c r="D86" s="39" t="s">
        <v>121</v>
      </c>
      <c r="E86" s="39"/>
      <c r="F86" s="39">
        <f>SUM(F87:F88)</f>
        <v>0</v>
      </c>
      <c r="G86" s="39"/>
      <c r="H86" s="39"/>
      <c r="I86" s="39">
        <f t="shared" ref="I86" si="27">ROUND(F86*0.02,2)</f>
        <v>0</v>
      </c>
      <c r="J86" s="39">
        <f t="shared" ref="J86:J87" si="28">ROUND(F86*0.05,2)</f>
        <v>0</v>
      </c>
      <c r="K86" s="39">
        <f t="shared" ref="K86:K102" si="29">SUM(F86:J86)</f>
        <v>0</v>
      </c>
    </row>
    <row r="87" spans="1:11">
      <c r="A87" s="39">
        <v>24</v>
      </c>
      <c r="B87" s="39"/>
      <c r="C87" s="39" t="s">
        <v>183</v>
      </c>
      <c r="D87" s="39" t="s">
        <v>170</v>
      </c>
      <c r="E87" s="40"/>
      <c r="F87" s="42">
        <f>E87*$L$10*0.95</f>
        <v>0</v>
      </c>
      <c r="G87" s="39"/>
      <c r="H87" s="39" t="s">
        <v>0</v>
      </c>
      <c r="I87" s="39">
        <f t="shared" ref="I87" si="30">ROUND(F87*0.02,2)</f>
        <v>0</v>
      </c>
      <c r="J87" s="39">
        <f t="shared" si="28"/>
        <v>0</v>
      </c>
      <c r="K87" s="39">
        <f t="shared" si="29"/>
        <v>0</v>
      </c>
    </row>
    <row r="88" spans="1:11">
      <c r="A88" s="39">
        <v>25</v>
      </c>
      <c r="B88" s="39"/>
      <c r="C88" s="39" t="s">
        <v>184</v>
      </c>
      <c r="D88" s="39" t="s">
        <v>185</v>
      </c>
      <c r="E88" s="39"/>
      <c r="F88" s="39"/>
      <c r="G88" s="39"/>
      <c r="H88" s="39"/>
      <c r="I88" s="39"/>
      <c r="J88" s="39"/>
      <c r="K88" s="39"/>
    </row>
    <row r="89" ht="24.6" customHeight="1" spans="1:11">
      <c r="A89" s="36" t="s">
        <v>0</v>
      </c>
      <c r="B89" s="36" t="s">
        <v>0</v>
      </c>
      <c r="C89" s="37" t="s">
        <v>307</v>
      </c>
      <c r="D89" s="37" t="s">
        <v>0</v>
      </c>
      <c r="E89" s="37" t="s">
        <v>0</v>
      </c>
      <c r="F89" s="37" t="s">
        <v>0</v>
      </c>
      <c r="G89" s="37" t="s">
        <v>0</v>
      </c>
      <c r="H89" s="37" t="s">
        <v>0</v>
      </c>
      <c r="I89" s="37" t="s">
        <v>0</v>
      </c>
      <c r="J89" s="43" t="s">
        <v>419</v>
      </c>
      <c r="K89" s="43" t="s">
        <v>0</v>
      </c>
    </row>
    <row r="90" spans="1:11">
      <c r="A90" s="38" t="s">
        <v>130</v>
      </c>
      <c r="B90" s="38" t="s">
        <v>0</v>
      </c>
      <c r="C90" s="38" t="s">
        <v>0</v>
      </c>
      <c r="D90" s="38" t="s">
        <v>0</v>
      </c>
      <c r="E90" s="38" t="s">
        <v>0</v>
      </c>
      <c r="F90" s="38" t="s">
        <v>0</v>
      </c>
      <c r="G90" s="38" t="s">
        <v>0</v>
      </c>
      <c r="H90" s="38" t="s">
        <v>0</v>
      </c>
      <c r="I90" s="38" t="s">
        <v>0</v>
      </c>
      <c r="J90" s="38" t="s">
        <v>0</v>
      </c>
      <c r="K90" s="38" t="s">
        <v>0</v>
      </c>
    </row>
    <row r="91" spans="1:11">
      <c r="A91" s="39">
        <v>26</v>
      </c>
      <c r="B91" s="39" t="s">
        <v>368</v>
      </c>
      <c r="C91" s="39" t="s">
        <v>152</v>
      </c>
      <c r="D91" s="39" t="s">
        <v>121</v>
      </c>
      <c r="E91" s="39"/>
      <c r="F91" s="39">
        <f>SUM(F92:F94)</f>
        <v>0</v>
      </c>
      <c r="G91" s="39">
        <f>SUM(G92:G94)</f>
        <v>0</v>
      </c>
      <c r="H91" s="39"/>
      <c r="I91" s="39">
        <f t="shared" ref="I91:I95" si="31">ROUND(F91*0.02,2)</f>
        <v>0</v>
      </c>
      <c r="J91" s="39">
        <f t="shared" ref="J91:J95" si="32">ROUND(F91*0.05,2)</f>
        <v>0</v>
      </c>
      <c r="K91" s="39">
        <f t="shared" si="29"/>
        <v>0</v>
      </c>
    </row>
    <row r="92" spans="1:11">
      <c r="A92" s="39">
        <v>27</v>
      </c>
      <c r="B92" s="39"/>
      <c r="C92" s="39" t="s">
        <v>152</v>
      </c>
      <c r="D92" s="39" t="s">
        <v>170</v>
      </c>
      <c r="E92" s="40"/>
      <c r="F92" s="42">
        <f>E92*$L$10*0.95</f>
        <v>0</v>
      </c>
      <c r="G92" s="39" t="s">
        <v>0</v>
      </c>
      <c r="H92" s="39"/>
      <c r="I92" s="39">
        <f t="shared" si="31"/>
        <v>0</v>
      </c>
      <c r="J92" s="39">
        <f t="shared" si="32"/>
        <v>0</v>
      </c>
      <c r="K92" s="39">
        <f t="shared" si="29"/>
        <v>0</v>
      </c>
    </row>
    <row r="93" spans="1:12">
      <c r="A93" s="39">
        <v>28</v>
      </c>
      <c r="B93" s="39"/>
      <c r="C93" s="39" t="s">
        <v>415</v>
      </c>
      <c r="D93" s="39" t="s">
        <v>177</v>
      </c>
      <c r="E93" s="40"/>
      <c r="F93" s="39" t="s">
        <v>0</v>
      </c>
      <c r="G93" s="42">
        <f>E93*L93*0.95</f>
        <v>0</v>
      </c>
      <c r="H93" s="39"/>
      <c r="I93" s="39"/>
      <c r="J93" s="39"/>
      <c r="K93" s="39">
        <f t="shared" si="29"/>
        <v>0</v>
      </c>
      <c r="L93">
        <v>3.83</v>
      </c>
    </row>
    <row r="94" spans="1:12">
      <c r="A94" s="39">
        <v>29</v>
      </c>
      <c r="B94" s="39"/>
      <c r="C94" s="39" t="s">
        <v>178</v>
      </c>
      <c r="D94" s="39" t="s">
        <v>177</v>
      </c>
      <c r="E94" s="40"/>
      <c r="F94" s="39" t="s">
        <v>0</v>
      </c>
      <c r="G94" s="42">
        <f>E94*L94*0.95</f>
        <v>0</v>
      </c>
      <c r="H94" s="39" t="s">
        <v>0</v>
      </c>
      <c r="I94" s="39"/>
      <c r="J94" s="39"/>
      <c r="K94" s="39">
        <f t="shared" si="29"/>
        <v>0</v>
      </c>
      <c r="L94">
        <v>4.83</v>
      </c>
    </row>
    <row r="95" spans="1:11">
      <c r="A95" s="39">
        <v>30</v>
      </c>
      <c r="B95" s="39" t="s">
        <v>369</v>
      </c>
      <c r="C95" s="39" t="s">
        <v>154</v>
      </c>
      <c r="D95" s="39" t="s">
        <v>121</v>
      </c>
      <c r="E95" s="39"/>
      <c r="F95" s="39">
        <f>SUM(F96:F97)</f>
        <v>0</v>
      </c>
      <c r="G95" s="39">
        <f>SUM(G96:G97)</f>
        <v>0</v>
      </c>
      <c r="H95" s="39"/>
      <c r="I95" s="39">
        <f t="shared" si="31"/>
        <v>0</v>
      </c>
      <c r="J95" s="39">
        <f t="shared" si="32"/>
        <v>0</v>
      </c>
      <c r="K95" s="39">
        <f t="shared" si="29"/>
        <v>0</v>
      </c>
    </row>
    <row r="96" spans="1:11">
      <c r="A96" s="39">
        <v>31</v>
      </c>
      <c r="B96" s="39"/>
      <c r="C96" s="39" t="s">
        <v>154</v>
      </c>
      <c r="D96" s="39" t="s">
        <v>170</v>
      </c>
      <c r="E96" s="40"/>
      <c r="F96" s="42">
        <f>E96*$L$10*0.95</f>
        <v>0</v>
      </c>
      <c r="G96" s="39" t="s">
        <v>0</v>
      </c>
      <c r="H96" s="39"/>
      <c r="I96" s="39">
        <f t="shared" ref="I96" si="33">ROUND(F96*0.02,2)</f>
        <v>0</v>
      </c>
      <c r="J96" s="39">
        <f t="shared" ref="J96" si="34">ROUND(F96*0.05,2)</f>
        <v>0</v>
      </c>
      <c r="K96" s="39">
        <f t="shared" si="29"/>
        <v>0</v>
      </c>
    </row>
    <row r="97" s="34" customFormat="1" spans="1:13">
      <c r="A97" s="39">
        <v>32</v>
      </c>
      <c r="B97" s="39"/>
      <c r="C97" s="39" t="s">
        <v>182</v>
      </c>
      <c r="D97" s="39" t="s">
        <v>181</v>
      </c>
      <c r="E97" s="40"/>
      <c r="F97" s="39" t="s">
        <v>0</v>
      </c>
      <c r="G97" s="42">
        <f>E97*M97*0.95</f>
        <v>0</v>
      </c>
      <c r="H97" s="39"/>
      <c r="I97" s="39"/>
      <c r="J97" s="39"/>
      <c r="K97" s="39">
        <f t="shared" si="29"/>
        <v>0</v>
      </c>
      <c r="L97" s="34">
        <v>62160.84</v>
      </c>
      <c r="M97" s="34">
        <v>3</v>
      </c>
    </row>
    <row r="98" spans="1:11">
      <c r="A98" s="39">
        <v>33</v>
      </c>
      <c r="B98" s="39" t="s">
        <v>370</v>
      </c>
      <c r="C98" s="39" t="s">
        <v>156</v>
      </c>
      <c r="D98" s="39" t="s">
        <v>121</v>
      </c>
      <c r="E98" s="39"/>
      <c r="F98" s="39">
        <f>SUM(F99:F100)</f>
        <v>0</v>
      </c>
      <c r="G98" s="39">
        <f>SUM(G99:G100)</f>
        <v>0</v>
      </c>
      <c r="H98" s="39"/>
      <c r="I98" s="39">
        <f t="shared" ref="I97:I99" si="35">ROUND(F98*0.02,2)</f>
        <v>0</v>
      </c>
      <c r="J98" s="39">
        <f t="shared" ref="J97:J99" si="36">ROUND(F98*0.05,2)</f>
        <v>0</v>
      </c>
      <c r="K98" s="39">
        <f t="shared" si="29"/>
        <v>0</v>
      </c>
    </row>
    <row r="99" spans="1:11">
      <c r="A99" s="39">
        <v>34</v>
      </c>
      <c r="B99" s="39"/>
      <c r="C99" s="39" t="s">
        <v>156</v>
      </c>
      <c r="D99" s="39" t="s">
        <v>170</v>
      </c>
      <c r="E99" s="40"/>
      <c r="F99" s="42">
        <f>E99*$L$10*0.95</f>
        <v>0</v>
      </c>
      <c r="G99" s="39" t="s">
        <v>0</v>
      </c>
      <c r="H99" s="39"/>
      <c r="I99" s="39">
        <f t="shared" si="35"/>
        <v>0</v>
      </c>
      <c r="J99" s="39">
        <f t="shared" si="36"/>
        <v>0</v>
      </c>
      <c r="K99" s="39">
        <f t="shared" si="29"/>
        <v>0</v>
      </c>
    </row>
    <row r="100" s="34" customFormat="1" spans="1:13">
      <c r="A100" s="39">
        <v>35</v>
      </c>
      <c r="B100" s="39"/>
      <c r="C100" s="39" t="s">
        <v>187</v>
      </c>
      <c r="D100" s="39" t="s">
        <v>181</v>
      </c>
      <c r="E100" s="40"/>
      <c r="F100" s="39" t="s">
        <v>0</v>
      </c>
      <c r="G100" s="42">
        <f>E100*M100*0.95</f>
        <v>0</v>
      </c>
      <c r="H100" s="39"/>
      <c r="I100" s="39"/>
      <c r="J100" s="39"/>
      <c r="K100" s="39">
        <f t="shared" si="29"/>
        <v>0</v>
      </c>
      <c r="L100" s="34">
        <v>1828.26</v>
      </c>
      <c r="M100" s="34">
        <v>23.3</v>
      </c>
    </row>
    <row r="101" spans="1:11">
      <c r="A101" s="39">
        <v>36</v>
      </c>
      <c r="B101" s="39" t="s">
        <v>371</v>
      </c>
      <c r="C101" s="39" t="s">
        <v>159</v>
      </c>
      <c r="D101" s="39" t="s">
        <v>121</v>
      </c>
      <c r="E101" s="39"/>
      <c r="F101" s="39">
        <f>SUM(F102:F103)</f>
        <v>0</v>
      </c>
      <c r="G101" s="39" t="s">
        <v>0</v>
      </c>
      <c r="H101" s="39" t="s">
        <v>0</v>
      </c>
      <c r="I101" s="39">
        <f t="shared" ref="I101:I102" si="37">ROUND(F101*0.02,2)</f>
        <v>0</v>
      </c>
      <c r="J101" s="39">
        <f t="shared" ref="J101:J102" si="38">ROUND(F101*0.05,2)</f>
        <v>0</v>
      </c>
      <c r="K101" s="39">
        <f t="shared" si="29"/>
        <v>0</v>
      </c>
    </row>
    <row r="102" spans="1:12">
      <c r="A102" s="39">
        <v>37</v>
      </c>
      <c r="B102" s="39"/>
      <c r="C102" s="39" t="s">
        <v>159</v>
      </c>
      <c r="D102" s="39" t="s">
        <v>121</v>
      </c>
      <c r="E102" s="40"/>
      <c r="F102" s="42">
        <f>E102*L102*0.95</f>
        <v>0</v>
      </c>
      <c r="G102" s="39"/>
      <c r="H102" s="39"/>
      <c r="I102" s="39">
        <f t="shared" si="37"/>
        <v>0</v>
      </c>
      <c r="J102" s="39">
        <f t="shared" si="38"/>
        <v>0</v>
      </c>
      <c r="K102" s="39">
        <f t="shared" si="29"/>
        <v>0</v>
      </c>
      <c r="L102">
        <v>32</v>
      </c>
    </row>
    <row r="103" spans="1:11">
      <c r="A103" s="39">
        <v>38</v>
      </c>
      <c r="B103" s="39"/>
      <c r="C103" s="39" t="s">
        <v>188</v>
      </c>
      <c r="D103" s="39" t="s">
        <v>189</v>
      </c>
      <c r="E103" s="39"/>
      <c r="F103" s="39"/>
      <c r="G103" s="39"/>
      <c r="H103" s="39"/>
      <c r="I103" s="39"/>
      <c r="J103" s="39"/>
      <c r="K103" s="39"/>
    </row>
    <row r="104" spans="1:11">
      <c r="A104" s="39">
        <v>39</v>
      </c>
      <c r="B104" s="39" t="s">
        <v>161</v>
      </c>
      <c r="C104" s="39" t="s">
        <v>162</v>
      </c>
      <c r="D104" s="39" t="s">
        <v>163</v>
      </c>
      <c r="E104" s="40">
        <v>0</v>
      </c>
      <c r="F104" s="42">
        <f>48127.2/440*E104*0.95</f>
        <v>0</v>
      </c>
      <c r="G104" s="39" t="s">
        <v>0</v>
      </c>
      <c r="H104" s="42">
        <f>127872.8/440*E104*0.95</f>
        <v>0</v>
      </c>
      <c r="I104" s="39">
        <f t="shared" ref="I104" si="39">ROUND(F104*0.02,2)</f>
        <v>0</v>
      </c>
      <c r="J104" s="39">
        <f t="shared" ref="J104" si="40">ROUND(F104*0.05,2)</f>
        <v>0</v>
      </c>
      <c r="K104" s="39">
        <f t="shared" ref="K104:K110" si="41">SUM(F104:J104)</f>
        <v>0</v>
      </c>
    </row>
    <row r="105" spans="1:11">
      <c r="A105" s="39">
        <v>40</v>
      </c>
      <c r="B105" s="39"/>
      <c r="C105" s="39" t="s">
        <v>190</v>
      </c>
      <c r="D105" s="39" t="s">
        <v>191</v>
      </c>
      <c r="E105" s="39"/>
      <c r="F105" s="39"/>
      <c r="G105" s="39"/>
      <c r="H105" s="42">
        <f>10636.27/440*E104*0.95</f>
        <v>0</v>
      </c>
      <c r="I105" s="39"/>
      <c r="J105" s="39"/>
      <c r="K105" s="39">
        <f t="shared" si="41"/>
        <v>0</v>
      </c>
    </row>
    <row r="106" spans="1:11">
      <c r="A106" s="39">
        <v>41</v>
      </c>
      <c r="B106" s="39"/>
      <c r="C106" s="39" t="s">
        <v>192</v>
      </c>
      <c r="D106" s="39" t="s">
        <v>191</v>
      </c>
      <c r="E106" s="39"/>
      <c r="F106" s="39"/>
      <c r="G106" s="39"/>
      <c r="H106" s="42">
        <f>3778.04/440*E104*0.95</f>
        <v>0</v>
      </c>
      <c r="I106" s="39"/>
      <c r="J106" s="39"/>
      <c r="K106" s="39">
        <f t="shared" si="41"/>
        <v>0</v>
      </c>
    </row>
    <row r="107" spans="1:11">
      <c r="A107" s="39">
        <v>42</v>
      </c>
      <c r="B107" s="39"/>
      <c r="C107" s="39" t="s">
        <v>193</v>
      </c>
      <c r="D107" s="39" t="s">
        <v>191</v>
      </c>
      <c r="E107" s="39"/>
      <c r="F107" s="39"/>
      <c r="G107" s="39"/>
      <c r="H107" s="42">
        <f>7973.2/440*E104*0.95</f>
        <v>0</v>
      </c>
      <c r="I107" s="39"/>
      <c r="J107" s="39"/>
      <c r="K107" s="39">
        <f t="shared" si="41"/>
        <v>0</v>
      </c>
    </row>
    <row r="108" spans="1:11">
      <c r="A108" s="39">
        <v>43</v>
      </c>
      <c r="B108" s="39"/>
      <c r="C108" s="39" t="s">
        <v>194</v>
      </c>
      <c r="D108" s="39" t="s">
        <v>170</v>
      </c>
      <c r="E108" s="39"/>
      <c r="F108" s="42">
        <f>48127.2/440*E104*0.95</f>
        <v>0</v>
      </c>
      <c r="G108" s="39"/>
      <c r="H108" s="42"/>
      <c r="I108" s="39">
        <f>ROUND(F108*0.02,2)</f>
        <v>0</v>
      </c>
      <c r="J108" s="39">
        <f>ROUND(F108*0.05,2)</f>
        <v>0</v>
      </c>
      <c r="K108" s="39">
        <f t="shared" si="41"/>
        <v>0</v>
      </c>
    </row>
    <row r="109" spans="1:11">
      <c r="A109" s="39">
        <v>44</v>
      </c>
      <c r="B109" s="39"/>
      <c r="C109" s="39" t="s">
        <v>195</v>
      </c>
      <c r="D109" s="39" t="s">
        <v>196</v>
      </c>
      <c r="E109" s="39"/>
      <c r="F109" s="39"/>
      <c r="G109" s="39"/>
      <c r="H109" s="42">
        <f>105485.29/440*E104*0.95</f>
        <v>0</v>
      </c>
      <c r="I109" s="39"/>
      <c r="J109" s="39"/>
      <c r="K109" s="39">
        <f t="shared" si="41"/>
        <v>0</v>
      </c>
    </row>
    <row r="110" spans="1:13">
      <c r="A110" s="39" t="s">
        <v>9</v>
      </c>
      <c r="B110" s="39" t="s">
        <v>9</v>
      </c>
      <c r="C110" s="39" t="s">
        <v>164</v>
      </c>
      <c r="D110" s="39"/>
      <c r="E110" s="39"/>
      <c r="F110" s="39">
        <f>SUM(F64,F75,F82,F86,F91,F95,F98,F101,F104,)</f>
        <v>0</v>
      </c>
      <c r="G110" s="39">
        <f t="shared" ref="F110:J110" si="42">SUM(G64,G75,G82,G86,G91,G95,G98,G101,G104,)</f>
        <v>0</v>
      </c>
      <c r="H110" s="39">
        <f t="shared" si="42"/>
        <v>0</v>
      </c>
      <c r="I110" s="39">
        <f t="shared" si="42"/>
        <v>0</v>
      </c>
      <c r="J110" s="39">
        <f t="shared" si="42"/>
        <v>0</v>
      </c>
      <c r="K110" s="39">
        <f t="shared" si="41"/>
        <v>0</v>
      </c>
      <c r="M110" t="e">
        <f>ROUND(K110/E101,2)</f>
        <v>#DIV/0!</v>
      </c>
    </row>
    <row r="111" ht="116.4" customHeight="1"/>
    <row r="112" spans="7:11">
      <c r="G112" s="20" t="s">
        <v>29</v>
      </c>
      <c r="H112" s="20" t="s">
        <v>0</v>
      </c>
      <c r="I112" s="20" t="s">
        <v>0</v>
      </c>
      <c r="J112" s="20" t="s">
        <v>0</v>
      </c>
      <c r="K112" s="20" t="s">
        <v>0</v>
      </c>
    </row>
    <row r="113" ht="17.4" spans="1:11">
      <c r="A113" s="36" t="s">
        <v>0</v>
      </c>
      <c r="B113" s="36" t="s">
        <v>0</v>
      </c>
      <c r="C113" s="37" t="s">
        <v>307</v>
      </c>
      <c r="D113" s="37" t="s">
        <v>0</v>
      </c>
      <c r="E113" s="37" t="s">
        <v>0</v>
      </c>
      <c r="F113" s="37" t="s">
        <v>0</v>
      </c>
      <c r="G113" s="37" t="s">
        <v>0</v>
      </c>
      <c r="H113" s="37" t="s">
        <v>0</v>
      </c>
      <c r="I113" s="37" t="s">
        <v>0</v>
      </c>
      <c r="J113" s="43" t="s">
        <v>420</v>
      </c>
      <c r="K113" s="43" t="s">
        <v>0</v>
      </c>
    </row>
    <row r="114" spans="1:11">
      <c r="A114" s="38" t="s">
        <v>130</v>
      </c>
      <c r="B114" s="38" t="s">
        <v>0</v>
      </c>
      <c r="C114" s="38" t="s">
        <v>0</v>
      </c>
      <c r="D114" s="38" t="s">
        <v>0</v>
      </c>
      <c r="E114" s="38" t="s">
        <v>0</v>
      </c>
      <c r="F114" s="38" t="s">
        <v>0</v>
      </c>
      <c r="G114" s="38" t="s">
        <v>0</v>
      </c>
      <c r="H114" s="38" t="s">
        <v>0</v>
      </c>
      <c r="I114" s="38" t="s">
        <v>0</v>
      </c>
      <c r="J114" s="38" t="s">
        <v>0</v>
      </c>
      <c r="K114" s="38" t="s">
        <v>0</v>
      </c>
    </row>
    <row r="115" spans="1:11">
      <c r="A115" s="20" t="s">
        <v>24</v>
      </c>
      <c r="B115" s="20" t="s">
        <v>0</v>
      </c>
      <c r="C115" s="13" t="s">
        <v>347</v>
      </c>
      <c r="D115" s="13" t="s">
        <v>0</v>
      </c>
      <c r="E115" s="13" t="s">
        <v>0</v>
      </c>
      <c r="F115" s="13" t="s">
        <v>0</v>
      </c>
      <c r="G115" s="13" t="s">
        <v>0</v>
      </c>
      <c r="H115" s="13" t="s">
        <v>0</v>
      </c>
      <c r="I115" s="13" t="s">
        <v>0</v>
      </c>
      <c r="J115" s="13" t="s">
        <v>132</v>
      </c>
      <c r="K115" s="13" t="s">
        <v>0</v>
      </c>
    </row>
    <row r="116" spans="1:11">
      <c r="A116" s="20" t="s">
        <v>133</v>
      </c>
      <c r="B116" s="20" t="s">
        <v>0</v>
      </c>
      <c r="C116" s="13" t="s">
        <v>421</v>
      </c>
      <c r="D116" s="13" t="s">
        <v>0</v>
      </c>
      <c r="E116" s="13" t="s">
        <v>0</v>
      </c>
      <c r="F116" s="13" t="s">
        <v>0</v>
      </c>
      <c r="G116" s="13" t="s">
        <v>0</v>
      </c>
      <c r="H116" s="13" t="s">
        <v>0</v>
      </c>
      <c r="I116" s="13" t="s">
        <v>0</v>
      </c>
      <c r="J116" s="13" t="s">
        <v>374</v>
      </c>
      <c r="K116" s="13" t="s">
        <v>0</v>
      </c>
    </row>
    <row r="117" spans="1:11">
      <c r="A117" s="20" t="s">
        <v>136</v>
      </c>
      <c r="B117" s="20" t="s">
        <v>0</v>
      </c>
      <c r="C117" s="13" t="s">
        <v>422</v>
      </c>
      <c r="D117" s="13" t="s">
        <v>0</v>
      </c>
      <c r="E117" s="13" t="s">
        <v>0</v>
      </c>
      <c r="F117" s="13" t="s">
        <v>0</v>
      </c>
      <c r="G117" s="13" t="s">
        <v>0</v>
      </c>
      <c r="H117" s="13" t="s">
        <v>0</v>
      </c>
      <c r="I117" s="13" t="s">
        <v>0</v>
      </c>
      <c r="J117" s="13" t="str">
        <f>"综合单价："&amp;$M$166&amp;"元 "</f>
        <v>综合单价：1469.9元 </v>
      </c>
      <c r="K117" s="13" t="s">
        <v>0</v>
      </c>
    </row>
    <row r="118" spans="1:11">
      <c r="A118" s="39" t="s">
        <v>32</v>
      </c>
      <c r="B118" s="39" t="s">
        <v>138</v>
      </c>
      <c r="C118" s="39" t="s">
        <v>139</v>
      </c>
      <c r="D118" s="39" t="s">
        <v>110</v>
      </c>
      <c r="E118" s="39" t="s">
        <v>140</v>
      </c>
      <c r="F118" s="39" t="s">
        <v>414</v>
      </c>
      <c r="G118" s="39" t="s">
        <v>0</v>
      </c>
      <c r="H118" s="39" t="s">
        <v>0</v>
      </c>
      <c r="I118" s="39" t="s">
        <v>0</v>
      </c>
      <c r="J118" s="39" t="s">
        <v>0</v>
      </c>
      <c r="K118" s="39" t="s">
        <v>0</v>
      </c>
    </row>
    <row r="119" spans="1:11">
      <c r="A119" s="39" t="s">
        <v>0</v>
      </c>
      <c r="B119" s="39" t="s">
        <v>0</v>
      </c>
      <c r="C119" s="39" t="s">
        <v>0</v>
      </c>
      <c r="D119" s="39" t="s">
        <v>0</v>
      </c>
      <c r="E119" s="39" t="s">
        <v>0</v>
      </c>
      <c r="F119" s="39" t="s">
        <v>115</v>
      </c>
      <c r="G119" s="39" t="s">
        <v>116</v>
      </c>
      <c r="H119" s="39" t="s">
        <v>117</v>
      </c>
      <c r="I119" s="39" t="s">
        <v>118</v>
      </c>
      <c r="J119" s="39" t="s">
        <v>119</v>
      </c>
      <c r="K119" s="39" t="s">
        <v>142</v>
      </c>
    </row>
    <row r="120" spans="1:11">
      <c r="A120" s="39" t="s">
        <v>53</v>
      </c>
      <c r="B120" s="39" t="s">
        <v>376</v>
      </c>
      <c r="C120" s="39" t="s">
        <v>352</v>
      </c>
      <c r="D120" s="39" t="s">
        <v>121</v>
      </c>
      <c r="E120" s="39"/>
      <c r="F120" s="39">
        <f>SUM(F121:F130)</f>
        <v>0</v>
      </c>
      <c r="G120" s="39" t="s">
        <v>0</v>
      </c>
      <c r="H120" s="39" t="s">
        <v>0</v>
      </c>
      <c r="I120" s="39">
        <f>SUM(I121:I130)</f>
        <v>0</v>
      </c>
      <c r="J120" s="39">
        <f>SUM(J121:J130)</f>
        <v>0</v>
      </c>
      <c r="K120" s="39">
        <f>SUM(F120:J120)</f>
        <v>0</v>
      </c>
    </row>
    <row r="121" spans="1:11">
      <c r="A121" s="39" t="s">
        <v>60</v>
      </c>
      <c r="B121" s="39"/>
      <c r="C121" s="39" t="s">
        <v>320</v>
      </c>
      <c r="D121" s="39" t="s">
        <v>170</v>
      </c>
      <c r="E121" s="40"/>
      <c r="F121" s="42">
        <f>E121*$L$9*0.95</f>
        <v>0</v>
      </c>
      <c r="G121" s="39"/>
      <c r="H121" s="39"/>
      <c r="I121" s="39">
        <f t="shared" ref="I121" si="43">ROUND(F121*0.02,2)</f>
        <v>0</v>
      </c>
      <c r="J121" s="39">
        <f t="shared" ref="J121" si="44">ROUND(F121*0.05,2)</f>
        <v>0</v>
      </c>
      <c r="K121" s="39">
        <f t="shared" ref="K121:K130" si="45">SUM(F121:J121)</f>
        <v>0</v>
      </c>
    </row>
    <row r="122" spans="1:11">
      <c r="A122" s="39" t="s">
        <v>64</v>
      </c>
      <c r="B122" s="39"/>
      <c r="C122" s="39" t="s">
        <v>169</v>
      </c>
      <c r="D122" s="39" t="s">
        <v>170</v>
      </c>
      <c r="E122" s="40"/>
      <c r="F122" s="42">
        <f>E122*$L$9*0.95</f>
        <v>0</v>
      </c>
      <c r="G122" s="39"/>
      <c r="H122" s="39"/>
      <c r="I122" s="39">
        <f t="shared" ref="I122:I130" si="46">ROUND(F122*0.02,2)</f>
        <v>0</v>
      </c>
      <c r="J122" s="39">
        <f t="shared" ref="J122:J130" si="47">ROUND(F122*0.05,2)</f>
        <v>0</v>
      </c>
      <c r="K122" s="39">
        <f t="shared" si="45"/>
        <v>0</v>
      </c>
    </row>
    <row r="123" spans="1:11">
      <c r="A123" s="39" t="s">
        <v>74</v>
      </c>
      <c r="B123" s="39"/>
      <c r="C123" s="39" t="s">
        <v>321</v>
      </c>
      <c r="D123" s="39" t="s">
        <v>170</v>
      </c>
      <c r="E123" s="40"/>
      <c r="F123" s="42">
        <f>E123*$L$9*0.95</f>
        <v>0</v>
      </c>
      <c r="G123" s="39"/>
      <c r="H123" s="39"/>
      <c r="I123" s="39">
        <f t="shared" si="46"/>
        <v>0</v>
      </c>
      <c r="J123" s="39">
        <f t="shared" si="47"/>
        <v>0</v>
      </c>
      <c r="K123" s="39">
        <f t="shared" si="45"/>
        <v>0</v>
      </c>
    </row>
    <row r="124" spans="1:11">
      <c r="A124" s="39" t="s">
        <v>75</v>
      </c>
      <c r="B124" s="39"/>
      <c r="C124" s="39" t="s">
        <v>322</v>
      </c>
      <c r="D124" s="39" t="s">
        <v>170</v>
      </c>
      <c r="E124" s="40"/>
      <c r="F124" s="42">
        <f t="shared" ref="F124:F130" si="48">E124*$L$10*0.95</f>
        <v>0</v>
      </c>
      <c r="G124" s="39"/>
      <c r="H124" s="39"/>
      <c r="I124" s="39">
        <f t="shared" si="46"/>
        <v>0</v>
      </c>
      <c r="J124" s="39">
        <f t="shared" si="47"/>
        <v>0</v>
      </c>
      <c r="K124" s="39">
        <f t="shared" si="45"/>
        <v>0</v>
      </c>
    </row>
    <row r="125" spans="1:11">
      <c r="A125" s="39" t="s">
        <v>77</v>
      </c>
      <c r="B125" s="39"/>
      <c r="C125" s="39" t="s">
        <v>323</v>
      </c>
      <c r="D125" s="39" t="s">
        <v>170</v>
      </c>
      <c r="E125" s="40"/>
      <c r="F125" s="42">
        <f t="shared" si="48"/>
        <v>0</v>
      </c>
      <c r="G125" s="39"/>
      <c r="H125" s="39"/>
      <c r="I125" s="39">
        <f t="shared" si="46"/>
        <v>0</v>
      </c>
      <c r="J125" s="39">
        <f t="shared" si="47"/>
        <v>0</v>
      </c>
      <c r="K125" s="39">
        <f t="shared" si="45"/>
        <v>0</v>
      </c>
    </row>
    <row r="126" spans="1:11">
      <c r="A126" s="39" t="s">
        <v>81</v>
      </c>
      <c r="B126" s="39"/>
      <c r="C126" s="39" t="s">
        <v>324</v>
      </c>
      <c r="D126" s="39" t="s">
        <v>170</v>
      </c>
      <c r="E126" s="40"/>
      <c r="F126" s="42">
        <f t="shared" si="48"/>
        <v>0</v>
      </c>
      <c r="G126" s="39"/>
      <c r="H126" s="39"/>
      <c r="I126" s="39">
        <f t="shared" si="46"/>
        <v>0</v>
      </c>
      <c r="J126" s="39">
        <f t="shared" si="47"/>
        <v>0</v>
      </c>
      <c r="K126" s="39">
        <f t="shared" si="45"/>
        <v>0</v>
      </c>
    </row>
    <row r="127" spans="1:11">
      <c r="A127" s="39" t="s">
        <v>157</v>
      </c>
      <c r="B127" s="39"/>
      <c r="C127" s="39" t="s">
        <v>325</v>
      </c>
      <c r="D127" s="39" t="s">
        <v>170</v>
      </c>
      <c r="E127" s="40"/>
      <c r="F127" s="42">
        <f t="shared" si="48"/>
        <v>0</v>
      </c>
      <c r="G127" s="39"/>
      <c r="H127" s="39"/>
      <c r="I127" s="39">
        <f t="shared" si="46"/>
        <v>0</v>
      </c>
      <c r="J127" s="39">
        <f t="shared" si="47"/>
        <v>0</v>
      </c>
      <c r="K127" s="39">
        <f t="shared" si="45"/>
        <v>0</v>
      </c>
    </row>
    <row r="128" spans="1:11">
      <c r="A128" s="39" t="s">
        <v>160</v>
      </c>
      <c r="B128" s="39"/>
      <c r="C128" s="39" t="s">
        <v>326</v>
      </c>
      <c r="D128" s="39" t="s">
        <v>170</v>
      </c>
      <c r="E128" s="40"/>
      <c r="F128" s="42">
        <f t="shared" si="48"/>
        <v>0</v>
      </c>
      <c r="G128" s="39"/>
      <c r="H128" s="39" t="s">
        <v>0</v>
      </c>
      <c r="I128" s="39">
        <f t="shared" si="46"/>
        <v>0</v>
      </c>
      <c r="J128" s="39">
        <f t="shared" si="47"/>
        <v>0</v>
      </c>
      <c r="K128" s="39">
        <f t="shared" si="45"/>
        <v>0</v>
      </c>
    </row>
    <row r="129" spans="1:11">
      <c r="A129" s="39" t="s">
        <v>278</v>
      </c>
      <c r="B129" s="39"/>
      <c r="C129" s="39" t="s">
        <v>171</v>
      </c>
      <c r="D129" s="39" t="s">
        <v>170</v>
      </c>
      <c r="E129" s="40"/>
      <c r="F129" s="42">
        <f t="shared" si="48"/>
        <v>0</v>
      </c>
      <c r="G129" s="39"/>
      <c r="H129" s="39"/>
      <c r="I129" s="39">
        <f t="shared" si="46"/>
        <v>0</v>
      </c>
      <c r="J129" s="39">
        <f t="shared" si="47"/>
        <v>0</v>
      </c>
      <c r="K129" s="39">
        <f t="shared" si="45"/>
        <v>0</v>
      </c>
    </row>
    <row r="130" spans="1:11">
      <c r="A130" s="39" t="s">
        <v>280</v>
      </c>
      <c r="B130" s="39"/>
      <c r="C130" s="39" t="s">
        <v>172</v>
      </c>
      <c r="D130" s="39" t="s">
        <v>170</v>
      </c>
      <c r="E130" s="40"/>
      <c r="F130" s="42">
        <f t="shared" si="48"/>
        <v>0</v>
      </c>
      <c r="G130" s="39"/>
      <c r="H130" s="39"/>
      <c r="I130" s="39">
        <f t="shared" si="46"/>
        <v>0</v>
      </c>
      <c r="J130" s="39">
        <f t="shared" si="47"/>
        <v>0</v>
      </c>
      <c r="K130" s="39">
        <f t="shared" si="45"/>
        <v>0</v>
      </c>
    </row>
    <row r="131" spans="1:11">
      <c r="A131" s="39" t="s">
        <v>282</v>
      </c>
      <c r="B131" s="39" t="s">
        <v>377</v>
      </c>
      <c r="C131" s="39" t="s">
        <v>146</v>
      </c>
      <c r="D131" s="39" t="s">
        <v>121</v>
      </c>
      <c r="E131" s="39">
        <v>4260.5</v>
      </c>
      <c r="F131" s="39">
        <f>SUM(F132:F137)</f>
        <v>1228729.088</v>
      </c>
      <c r="G131" s="39">
        <f>SUM(G132:G137)</f>
        <v>530707.221</v>
      </c>
      <c r="H131" s="39"/>
      <c r="I131" s="39">
        <f t="shared" ref="I130:I134" si="49">ROUND(F131*0.02,2)</f>
        <v>24574.58</v>
      </c>
      <c r="J131" s="39">
        <f t="shared" ref="J130:J134" si="50">ROUND(F131*0.05,2)</f>
        <v>61436.45</v>
      </c>
      <c r="K131" s="39">
        <f t="shared" ref="K131:K143" si="51">SUM(F131:J131)</f>
        <v>1845447.339</v>
      </c>
    </row>
    <row r="132" spans="1:11">
      <c r="A132" s="39" t="s">
        <v>284</v>
      </c>
      <c r="B132" s="39"/>
      <c r="C132" s="39" t="s">
        <v>173</v>
      </c>
      <c r="D132" s="39" t="s">
        <v>170</v>
      </c>
      <c r="E132" s="40">
        <v>314.29</v>
      </c>
      <c r="F132" s="42">
        <f>E132*$L$10*0.95</f>
        <v>38217.664</v>
      </c>
      <c r="G132" s="39" t="s">
        <v>0</v>
      </c>
      <c r="H132" s="39"/>
      <c r="I132" s="39">
        <f t="shared" si="49"/>
        <v>764.35</v>
      </c>
      <c r="J132" s="39">
        <f t="shared" si="50"/>
        <v>1910.88</v>
      </c>
      <c r="K132" s="39">
        <f t="shared" si="51"/>
        <v>40892.894</v>
      </c>
    </row>
    <row r="133" spans="1:11">
      <c r="A133" s="39" t="s">
        <v>286</v>
      </c>
      <c r="B133" s="39"/>
      <c r="C133" s="39" t="s">
        <v>174</v>
      </c>
      <c r="D133" s="39" t="s">
        <v>170</v>
      </c>
      <c r="E133" s="40">
        <v>4993.48</v>
      </c>
      <c r="F133" s="42">
        <f>E133*$L$10*0.95</f>
        <v>607207.168</v>
      </c>
      <c r="G133" s="39" t="s">
        <v>0</v>
      </c>
      <c r="H133" s="39"/>
      <c r="I133" s="39">
        <f t="shared" si="49"/>
        <v>12144.14</v>
      </c>
      <c r="J133" s="39">
        <f t="shared" si="50"/>
        <v>30360.36</v>
      </c>
      <c r="K133" s="39">
        <f t="shared" si="51"/>
        <v>649711.668</v>
      </c>
    </row>
    <row r="134" spans="1:11">
      <c r="A134" s="39" t="s">
        <v>288</v>
      </c>
      <c r="B134" s="39"/>
      <c r="C134" s="39" t="s">
        <v>175</v>
      </c>
      <c r="D134" s="39" t="s">
        <v>170</v>
      </c>
      <c r="E134" s="40">
        <v>2641.32</v>
      </c>
      <c r="F134" s="42">
        <f>E134*$L$10*0.95</f>
        <v>321184.512</v>
      </c>
      <c r="G134" s="39" t="s">
        <v>0</v>
      </c>
      <c r="H134" s="39"/>
      <c r="I134" s="39">
        <f t="shared" si="49"/>
        <v>6423.69</v>
      </c>
      <c r="J134" s="39">
        <f t="shared" si="50"/>
        <v>16059.23</v>
      </c>
      <c r="K134" s="39">
        <f t="shared" si="51"/>
        <v>343667.432</v>
      </c>
    </row>
    <row r="135" spans="1:12">
      <c r="A135" s="39" t="s">
        <v>291</v>
      </c>
      <c r="B135" s="39"/>
      <c r="C135" s="39" t="s">
        <v>415</v>
      </c>
      <c r="D135" s="39" t="s">
        <v>177</v>
      </c>
      <c r="E135" s="40">
        <f>132066*0.6</f>
        <v>79239.6</v>
      </c>
      <c r="F135" s="39" t="s">
        <v>0</v>
      </c>
      <c r="G135" s="42">
        <f>E135*L135*0.95</f>
        <v>288313.2846</v>
      </c>
      <c r="H135" s="39"/>
      <c r="I135" s="39"/>
      <c r="J135" s="39"/>
      <c r="K135" s="39">
        <f t="shared" si="51"/>
        <v>288313.2846</v>
      </c>
      <c r="L135">
        <v>3.83</v>
      </c>
    </row>
    <row r="136" spans="1:12">
      <c r="A136" s="39" t="s">
        <v>293</v>
      </c>
      <c r="B136" s="39"/>
      <c r="C136" s="39" t="s">
        <v>178</v>
      </c>
      <c r="D136" s="39" t="s">
        <v>177</v>
      </c>
      <c r="E136" s="40">
        <f>132066*0.4</f>
        <v>52826.4</v>
      </c>
      <c r="F136" s="39" t="s">
        <v>0</v>
      </c>
      <c r="G136" s="42">
        <f>E136*L136*0.95</f>
        <v>242393.9364</v>
      </c>
      <c r="H136" s="39" t="s">
        <v>0</v>
      </c>
      <c r="I136" s="39"/>
      <c r="J136" s="39"/>
      <c r="K136" s="39">
        <f t="shared" si="51"/>
        <v>242393.9364</v>
      </c>
      <c r="L136">
        <v>4.83</v>
      </c>
    </row>
    <row r="137" spans="1:11">
      <c r="A137" s="39" t="s">
        <v>296</v>
      </c>
      <c r="B137" s="39"/>
      <c r="C137" s="39" t="s">
        <v>179</v>
      </c>
      <c r="D137" s="39" t="s">
        <v>170</v>
      </c>
      <c r="E137" s="40">
        <v>2155.59</v>
      </c>
      <c r="F137" s="42">
        <f>E137*$L$10*0.95</f>
        <v>262119.744</v>
      </c>
      <c r="G137" s="39" t="s">
        <v>0</v>
      </c>
      <c r="H137" s="39"/>
      <c r="I137" s="39">
        <f>ROUND(F137*0.02,2)</f>
        <v>5242.39</v>
      </c>
      <c r="J137" s="39">
        <f>ROUND(F137*0.05,2)</f>
        <v>13105.99</v>
      </c>
      <c r="K137" s="39">
        <f t="shared" si="51"/>
        <v>280468.124</v>
      </c>
    </row>
    <row r="138" spans="1:11">
      <c r="A138" s="39">
        <v>19</v>
      </c>
      <c r="B138" s="39" t="s">
        <v>378</v>
      </c>
      <c r="C138" s="39" t="s">
        <v>148</v>
      </c>
      <c r="D138" s="39" t="s">
        <v>121</v>
      </c>
      <c r="E138" s="39">
        <v>4260.5</v>
      </c>
      <c r="F138" s="39">
        <f>SUM(F139:F141)</f>
        <v>153961.408</v>
      </c>
      <c r="G138" s="39">
        <f>SUM(G139:G141)</f>
        <v>514397.07</v>
      </c>
      <c r="H138" s="39" t="s">
        <v>0</v>
      </c>
      <c r="I138" s="39">
        <f t="shared" ref="I138:I139" si="52">ROUND(F138*0.02,2)</f>
        <v>3079.23</v>
      </c>
      <c r="J138" s="39">
        <f t="shared" ref="J138:J139" si="53">ROUND(F138*0.05,2)</f>
        <v>7698.07</v>
      </c>
      <c r="K138" s="39">
        <f t="shared" si="51"/>
        <v>679135.778</v>
      </c>
    </row>
    <row r="139" spans="1:11">
      <c r="A139" s="39">
        <v>20</v>
      </c>
      <c r="B139" s="39"/>
      <c r="C139" s="39" t="s">
        <v>148</v>
      </c>
      <c r="D139" s="39" t="s">
        <v>170</v>
      </c>
      <c r="E139" s="40">
        <v>1266.13</v>
      </c>
      <c r="F139" s="42">
        <f>E139*$L$10*0.95</f>
        <v>153961.408</v>
      </c>
      <c r="G139" s="39" t="s">
        <v>0</v>
      </c>
      <c r="H139" s="39"/>
      <c r="I139" s="39">
        <f t="shared" si="52"/>
        <v>3079.23</v>
      </c>
      <c r="J139" s="39">
        <f t="shared" si="53"/>
        <v>7698.07</v>
      </c>
      <c r="K139" s="39">
        <f t="shared" si="51"/>
        <v>164738.708</v>
      </c>
    </row>
    <row r="140" s="34" customFormat="1" spans="1:12">
      <c r="A140" s="39">
        <v>21</v>
      </c>
      <c r="B140" s="39"/>
      <c r="C140" s="39" t="s">
        <v>180</v>
      </c>
      <c r="D140" s="39" t="s">
        <v>181</v>
      </c>
      <c r="E140" s="44">
        <f>+E135*3+E136*5</f>
        <v>501850.8</v>
      </c>
      <c r="F140" s="39" t="s">
        <v>0</v>
      </c>
      <c r="G140" s="42">
        <f>E140*0.95</f>
        <v>476758.26</v>
      </c>
      <c r="H140" s="39"/>
      <c r="I140" s="39"/>
      <c r="J140" s="39"/>
      <c r="K140" s="39">
        <f t="shared" si="51"/>
        <v>476758.26</v>
      </c>
      <c r="L140" s="34">
        <v>1677690.88</v>
      </c>
    </row>
    <row r="141" s="34" customFormat="1" spans="1:13">
      <c r="A141" s="39">
        <v>22</v>
      </c>
      <c r="B141" s="39"/>
      <c r="C141" s="39" t="s">
        <v>182</v>
      </c>
      <c r="D141" s="39" t="s">
        <v>181</v>
      </c>
      <c r="E141" s="44">
        <f>+E136*0.25</f>
        <v>13206.6</v>
      </c>
      <c r="F141" s="39" t="s">
        <v>0</v>
      </c>
      <c r="G141" s="42">
        <f>E141*M141*0.95</f>
        <v>37638.81</v>
      </c>
      <c r="H141" s="39"/>
      <c r="I141" s="39"/>
      <c r="J141" s="39"/>
      <c r="K141" s="39">
        <f t="shared" si="51"/>
        <v>37638.81</v>
      </c>
      <c r="L141" s="34">
        <v>44149.76</v>
      </c>
      <c r="M141" s="34">
        <v>3</v>
      </c>
    </row>
    <row r="142" spans="1:11">
      <c r="A142" s="39">
        <v>23</v>
      </c>
      <c r="B142" s="39" t="s">
        <v>379</v>
      </c>
      <c r="C142" s="39" t="s">
        <v>150</v>
      </c>
      <c r="D142" s="39" t="s">
        <v>121</v>
      </c>
      <c r="E142" s="39">
        <v>4260.5</v>
      </c>
      <c r="F142" s="39">
        <f>SUM(F143:F144)</f>
        <v>715172.16</v>
      </c>
      <c r="G142" s="39"/>
      <c r="H142" s="39"/>
      <c r="I142" s="39">
        <f t="shared" ref="I142" si="54">ROUND(F142*0.02,2)</f>
        <v>14303.44</v>
      </c>
      <c r="J142" s="39">
        <f t="shared" ref="J142" si="55">ROUND(F142*0.05,2)</f>
        <v>35758.61</v>
      </c>
      <c r="K142" s="39">
        <f t="shared" ref="K142:K154" si="56">SUM(F142:J142)</f>
        <v>765234.21</v>
      </c>
    </row>
    <row r="143" spans="1:11">
      <c r="A143" s="39">
        <v>24</v>
      </c>
      <c r="B143" s="39"/>
      <c r="C143" s="39" t="s">
        <v>183</v>
      </c>
      <c r="D143" s="39" t="s">
        <v>170</v>
      </c>
      <c r="E143" s="40">
        <v>5881.35</v>
      </c>
      <c r="F143" s="42">
        <f>E143*$L$10*0.95</f>
        <v>715172.16</v>
      </c>
      <c r="G143" s="39"/>
      <c r="H143" s="39" t="s">
        <v>0</v>
      </c>
      <c r="I143" s="39">
        <f t="shared" ref="I143" si="57">ROUND(F143*0.02,2)</f>
        <v>14303.44</v>
      </c>
      <c r="J143" s="39">
        <f t="shared" ref="J143" si="58">ROUND(F143*0.05,2)</f>
        <v>35758.61</v>
      </c>
      <c r="K143" s="39">
        <f t="shared" si="56"/>
        <v>765234.21</v>
      </c>
    </row>
    <row r="144" spans="1:11">
      <c r="A144" s="39">
        <v>25</v>
      </c>
      <c r="B144" s="39"/>
      <c r="C144" s="39" t="s">
        <v>184</v>
      </c>
      <c r="D144" s="39" t="s">
        <v>185</v>
      </c>
      <c r="E144" s="39">
        <v>3</v>
      </c>
      <c r="F144" s="39"/>
      <c r="G144" s="39"/>
      <c r="H144" s="39"/>
      <c r="I144" s="39"/>
      <c r="J144" s="39"/>
      <c r="K144" s="39"/>
    </row>
    <row r="145" ht="17.4" spans="1:11">
      <c r="A145" s="36" t="s">
        <v>0</v>
      </c>
      <c r="B145" s="36" t="s">
        <v>0</v>
      </c>
      <c r="C145" s="37" t="s">
        <v>307</v>
      </c>
      <c r="D145" s="37" t="s">
        <v>0</v>
      </c>
      <c r="E145" s="37" t="s">
        <v>0</v>
      </c>
      <c r="F145" s="37" t="s">
        <v>0</v>
      </c>
      <c r="G145" s="37" t="s">
        <v>0</v>
      </c>
      <c r="H145" s="37" t="s">
        <v>0</v>
      </c>
      <c r="I145" s="37" t="s">
        <v>0</v>
      </c>
      <c r="J145" s="43" t="s">
        <v>423</v>
      </c>
      <c r="K145" s="43" t="s">
        <v>0</v>
      </c>
    </row>
    <row r="146" spans="1:11">
      <c r="A146" s="38" t="s">
        <v>130</v>
      </c>
      <c r="B146" s="38" t="s">
        <v>0</v>
      </c>
      <c r="C146" s="38" t="s">
        <v>0</v>
      </c>
      <c r="D146" s="38" t="s">
        <v>0</v>
      </c>
      <c r="E146" s="38" t="s">
        <v>0</v>
      </c>
      <c r="F146" s="38" t="s">
        <v>0</v>
      </c>
      <c r="G146" s="38" t="s">
        <v>0</v>
      </c>
      <c r="H146" s="38" t="s">
        <v>0</v>
      </c>
      <c r="I146" s="38" t="s">
        <v>0</v>
      </c>
      <c r="J146" s="38" t="s">
        <v>0</v>
      </c>
      <c r="K146" s="38" t="s">
        <v>0</v>
      </c>
    </row>
    <row r="147" spans="1:11">
      <c r="A147" s="39">
        <v>26</v>
      </c>
      <c r="B147" s="39" t="s">
        <v>380</v>
      </c>
      <c r="C147" s="39" t="s">
        <v>152</v>
      </c>
      <c r="D147" s="39" t="s">
        <v>121</v>
      </c>
      <c r="E147" s="39">
        <v>4260.5</v>
      </c>
      <c r="F147" s="39">
        <f>SUM(F148:F150)</f>
        <v>48231.424</v>
      </c>
      <c r="G147" s="39">
        <f>SUM(G148:G150)</f>
        <v>77530.13004</v>
      </c>
      <c r="H147" s="39"/>
      <c r="I147" s="39">
        <f t="shared" ref="I147:I151" si="59">ROUND(F147*0.02,2)</f>
        <v>964.63</v>
      </c>
      <c r="J147" s="39">
        <f t="shared" ref="J147:J151" si="60">ROUND(F147*0.05,2)</f>
        <v>2411.57</v>
      </c>
      <c r="K147" s="39">
        <f t="shared" si="56"/>
        <v>129137.75404</v>
      </c>
    </row>
    <row r="148" spans="1:11">
      <c r="A148" s="39">
        <v>27</v>
      </c>
      <c r="B148" s="39"/>
      <c r="C148" s="39" t="s">
        <v>152</v>
      </c>
      <c r="D148" s="39" t="s">
        <v>170</v>
      </c>
      <c r="E148" s="40">
        <v>396.64</v>
      </c>
      <c r="F148" s="42">
        <f>E148*$L$10*0.95</f>
        <v>48231.424</v>
      </c>
      <c r="G148" s="39" t="s">
        <v>0</v>
      </c>
      <c r="H148" s="39"/>
      <c r="I148" s="39">
        <f t="shared" si="59"/>
        <v>964.63</v>
      </c>
      <c r="J148" s="39">
        <f t="shared" si="60"/>
        <v>2411.57</v>
      </c>
      <c r="K148" s="39">
        <f t="shared" si="56"/>
        <v>51607.624</v>
      </c>
    </row>
    <row r="149" spans="1:12">
      <c r="A149" s="39">
        <v>28</v>
      </c>
      <c r="B149" s="39"/>
      <c r="C149" s="39" t="s">
        <v>415</v>
      </c>
      <c r="D149" s="39" t="s">
        <v>177</v>
      </c>
      <c r="E149" s="40">
        <f>19832*0.6</f>
        <v>11899.2</v>
      </c>
      <c r="F149" s="39" t="s">
        <v>0</v>
      </c>
      <c r="G149" s="42">
        <f>E149*L149*0.95*0.95</f>
        <v>41130.47724</v>
      </c>
      <c r="H149" s="39"/>
      <c r="I149" s="39"/>
      <c r="J149" s="39"/>
      <c r="K149" s="39">
        <f t="shared" si="56"/>
        <v>41130.47724</v>
      </c>
      <c r="L149">
        <v>3.83</v>
      </c>
    </row>
    <row r="150" spans="1:12">
      <c r="A150" s="39">
        <v>29</v>
      </c>
      <c r="B150" s="39"/>
      <c r="C150" s="39" t="s">
        <v>178</v>
      </c>
      <c r="D150" s="39" t="s">
        <v>177</v>
      </c>
      <c r="E150" s="40">
        <f>19832*0.4</f>
        <v>7932.8</v>
      </c>
      <c r="F150" s="39" t="s">
        <v>0</v>
      </c>
      <c r="G150" s="42">
        <f>E150*L150*0.95</f>
        <v>36399.6528</v>
      </c>
      <c r="H150" s="39" t="s">
        <v>0</v>
      </c>
      <c r="I150" s="39"/>
      <c r="J150" s="39"/>
      <c r="K150" s="39">
        <f t="shared" si="56"/>
        <v>36399.6528</v>
      </c>
      <c r="L150">
        <v>4.83</v>
      </c>
    </row>
    <row r="151" spans="1:11">
      <c r="A151" s="39">
        <v>30</v>
      </c>
      <c r="B151" s="39" t="s">
        <v>381</v>
      </c>
      <c r="C151" s="39" t="s">
        <v>154</v>
      </c>
      <c r="D151" s="39" t="s">
        <v>121</v>
      </c>
      <c r="E151" s="39">
        <v>4260.5</v>
      </c>
      <c r="F151" s="39">
        <f>SUM(F152:F153)</f>
        <v>461868.416</v>
      </c>
      <c r="G151" s="39">
        <f>SUM(G152:G153)</f>
        <v>883134.972</v>
      </c>
      <c r="H151" s="39"/>
      <c r="I151" s="39">
        <f t="shared" si="59"/>
        <v>9237.37</v>
      </c>
      <c r="J151" s="39">
        <f t="shared" si="60"/>
        <v>23093.42</v>
      </c>
      <c r="K151" s="39">
        <f t="shared" si="56"/>
        <v>1377334.178</v>
      </c>
    </row>
    <row r="152" spans="1:11">
      <c r="A152" s="39">
        <v>31</v>
      </c>
      <c r="B152" s="39"/>
      <c r="C152" s="39" t="s">
        <v>154</v>
      </c>
      <c r="D152" s="39" t="s">
        <v>170</v>
      </c>
      <c r="E152" s="40">
        <v>3798.26</v>
      </c>
      <c r="F152" s="42">
        <f>E152*$L$10*0.95</f>
        <v>461868.416</v>
      </c>
      <c r="G152" s="39" t="s">
        <v>0</v>
      </c>
      <c r="H152" s="39"/>
      <c r="I152" s="39">
        <f t="shared" ref="I152" si="61">ROUND(F152*0.02,2)</f>
        <v>9237.37</v>
      </c>
      <c r="J152" s="39">
        <f t="shared" ref="J152" si="62">ROUND(F152*0.05,2)</f>
        <v>23093.42</v>
      </c>
      <c r="K152" s="39">
        <f t="shared" si="56"/>
        <v>494199.206</v>
      </c>
    </row>
    <row r="153" s="34" customFormat="1" spans="1:13">
      <c r="A153" s="39">
        <v>32</v>
      </c>
      <c r="B153" s="39"/>
      <c r="C153" s="39" t="s">
        <v>182</v>
      </c>
      <c r="D153" s="39" t="s">
        <v>181</v>
      </c>
      <c r="E153" s="40">
        <f>+(E135+E149)*3+(E136+E150)*0.6</f>
        <v>309871.92</v>
      </c>
      <c r="F153" s="39" t="s">
        <v>0</v>
      </c>
      <c r="G153" s="42">
        <f>E153*M153*0.95</f>
        <v>883134.972</v>
      </c>
      <c r="H153" s="39"/>
      <c r="I153" s="39"/>
      <c r="J153" s="39"/>
      <c r="K153" s="39">
        <f t="shared" si="56"/>
        <v>883134.972</v>
      </c>
      <c r="L153" s="34">
        <v>900655.104</v>
      </c>
      <c r="M153" s="34">
        <v>3</v>
      </c>
    </row>
    <row r="154" spans="1:11">
      <c r="A154" s="39">
        <v>33</v>
      </c>
      <c r="B154" s="39" t="s">
        <v>382</v>
      </c>
      <c r="C154" s="39" t="s">
        <v>156</v>
      </c>
      <c r="D154" s="39" t="s">
        <v>121</v>
      </c>
      <c r="E154" s="39">
        <v>4260.5</v>
      </c>
      <c r="F154" s="39">
        <f>SUM(F155:F156)</f>
        <v>352858.88</v>
      </c>
      <c r="G154" s="39">
        <f>SUM(G155:G156)</f>
        <v>201849.065</v>
      </c>
      <c r="H154" s="39"/>
      <c r="I154" s="39">
        <f t="shared" ref="I153:I155" si="63">ROUND(F154*0.02,2)</f>
        <v>7057.18</v>
      </c>
      <c r="J154" s="39">
        <f t="shared" ref="J153:J155" si="64">ROUND(F154*0.05,2)</f>
        <v>17642.94</v>
      </c>
      <c r="K154" s="39">
        <f t="shared" si="56"/>
        <v>579408.065</v>
      </c>
    </row>
    <row r="155" spans="1:11">
      <c r="A155" s="39">
        <v>34</v>
      </c>
      <c r="B155" s="39"/>
      <c r="C155" s="39" t="s">
        <v>156</v>
      </c>
      <c r="D155" s="39" t="s">
        <v>170</v>
      </c>
      <c r="E155" s="40">
        <v>2901.8</v>
      </c>
      <c r="F155" s="42">
        <f>E155*$L$10*0.95</f>
        <v>352858.88</v>
      </c>
      <c r="G155" s="39" t="s">
        <v>0</v>
      </c>
      <c r="H155" s="39"/>
      <c r="I155" s="39">
        <f t="shared" si="63"/>
        <v>7057.18</v>
      </c>
      <c r="J155" s="39">
        <f t="shared" si="64"/>
        <v>17642.94</v>
      </c>
      <c r="K155" s="39">
        <f t="shared" ref="K155:K166" si="65">SUM(F155:J155)</f>
        <v>377559</v>
      </c>
    </row>
    <row r="156" s="34" customFormat="1" spans="1:13">
      <c r="A156" s="39">
        <v>35</v>
      </c>
      <c r="B156" s="39"/>
      <c r="C156" s="39" t="s">
        <v>187</v>
      </c>
      <c r="D156" s="39" t="s">
        <v>181</v>
      </c>
      <c r="E156" s="40">
        <v>9119</v>
      </c>
      <c r="F156" s="39" t="s">
        <v>0</v>
      </c>
      <c r="G156" s="42">
        <f>E156*M156*0.95</f>
        <v>201849.065</v>
      </c>
      <c r="H156" s="39"/>
      <c r="I156" s="39"/>
      <c r="J156" s="39"/>
      <c r="K156" s="39">
        <f t="shared" si="65"/>
        <v>201849.065</v>
      </c>
      <c r="L156" s="34">
        <v>26489.856</v>
      </c>
      <c r="M156" s="34">
        <v>23.3</v>
      </c>
    </row>
    <row r="157" spans="1:11">
      <c r="A157" s="39">
        <v>36</v>
      </c>
      <c r="B157" s="39" t="s">
        <v>383</v>
      </c>
      <c r="C157" s="39" t="s">
        <v>159</v>
      </c>
      <c r="D157" s="39" t="s">
        <v>121</v>
      </c>
      <c r="E157" s="39">
        <v>4260.5</v>
      </c>
      <c r="F157" s="39">
        <f>SUM(F158:F159)</f>
        <v>129519.2</v>
      </c>
      <c r="G157" s="39" t="s">
        <v>0</v>
      </c>
      <c r="H157" s="39" t="s">
        <v>0</v>
      </c>
      <c r="I157" s="39">
        <f t="shared" ref="I157:I158" si="66">ROUND(F157*0.02,2)</f>
        <v>2590.38</v>
      </c>
      <c r="J157" s="39">
        <f t="shared" ref="J157:J158" si="67">ROUND(F157*0.05,2)</f>
        <v>6475.96</v>
      </c>
      <c r="K157" s="39">
        <f t="shared" si="65"/>
        <v>138585.54</v>
      </c>
    </row>
    <row r="158" spans="1:12">
      <c r="A158" s="39">
        <v>37</v>
      </c>
      <c r="B158" s="39"/>
      <c r="C158" s="39" t="s">
        <v>159</v>
      </c>
      <c r="D158" s="39" t="s">
        <v>121</v>
      </c>
      <c r="E158" s="39">
        <v>4260.5</v>
      </c>
      <c r="F158" s="42">
        <f>E158*L158*0.95</f>
        <v>129519.2</v>
      </c>
      <c r="G158" s="39"/>
      <c r="H158" s="39"/>
      <c r="I158" s="39">
        <f t="shared" si="66"/>
        <v>2590.38</v>
      </c>
      <c r="J158" s="39">
        <f t="shared" si="67"/>
        <v>6475.96</v>
      </c>
      <c r="K158" s="39">
        <f t="shared" si="65"/>
        <v>138585.54</v>
      </c>
      <c r="L158">
        <v>32</v>
      </c>
    </row>
    <row r="159" spans="1:11">
      <c r="A159" s="39">
        <v>38</v>
      </c>
      <c r="B159" s="39"/>
      <c r="C159" s="39" t="s">
        <v>188</v>
      </c>
      <c r="D159" s="39" t="s">
        <v>189</v>
      </c>
      <c r="E159" s="39">
        <v>3</v>
      </c>
      <c r="F159" s="39"/>
      <c r="G159" s="39"/>
      <c r="H159" s="39"/>
      <c r="I159" s="39"/>
      <c r="J159" s="39"/>
      <c r="K159" s="39"/>
    </row>
    <row r="160" spans="1:11">
      <c r="A160" s="39">
        <v>39</v>
      </c>
      <c r="B160" s="39" t="s">
        <v>161</v>
      </c>
      <c r="C160" s="39" t="s">
        <v>162</v>
      </c>
      <c r="D160" s="39" t="s">
        <v>163</v>
      </c>
      <c r="E160" s="40">
        <v>1932</v>
      </c>
      <c r="F160" s="42">
        <f>683734.38/6251*E160*0.95</f>
        <v>200756.052</v>
      </c>
      <c r="G160" s="39" t="s">
        <v>0</v>
      </c>
      <c r="H160" s="42">
        <f>1816665.62/6251*E160*0.95</f>
        <v>533403.948</v>
      </c>
      <c r="I160" s="39">
        <f t="shared" ref="I160" si="68">ROUND(F160*0.02,2)</f>
        <v>4015.12</v>
      </c>
      <c r="J160" s="39">
        <f t="shared" ref="J160" si="69">ROUND(F160*0.05,2)</f>
        <v>10037.8</v>
      </c>
      <c r="K160" s="39">
        <f t="shared" si="65"/>
        <v>748212.92</v>
      </c>
    </row>
    <row r="161" spans="1:11">
      <c r="A161" s="39">
        <v>40</v>
      </c>
      <c r="B161" s="39"/>
      <c r="C161" s="39" t="s">
        <v>190</v>
      </c>
      <c r="D161" s="39" t="s">
        <v>191</v>
      </c>
      <c r="E161" s="39"/>
      <c r="F161" s="39"/>
      <c r="G161" s="39"/>
      <c r="H161" s="42">
        <f>151107.62/6251*E160*0.95</f>
        <v>44367.7692765957</v>
      </c>
      <c r="I161" s="39"/>
      <c r="J161" s="39"/>
      <c r="K161" s="39">
        <f t="shared" si="65"/>
        <v>44367.7692765957</v>
      </c>
    </row>
    <row r="162" spans="1:11">
      <c r="A162" s="39">
        <v>41</v>
      </c>
      <c r="B162" s="39"/>
      <c r="C162" s="39" t="s">
        <v>192</v>
      </c>
      <c r="D162" s="39" t="s">
        <v>191</v>
      </c>
      <c r="E162" s="39"/>
      <c r="F162" s="39"/>
      <c r="G162" s="39"/>
      <c r="H162" s="42">
        <f>53673.97/6251*E160*0.95</f>
        <v>15759.5911914894</v>
      </c>
      <c r="I162" s="39"/>
      <c r="J162" s="39"/>
      <c r="K162" s="39">
        <f t="shared" si="65"/>
        <v>15759.5911914894</v>
      </c>
    </row>
    <row r="163" spans="1:11">
      <c r="A163" s="39">
        <v>42</v>
      </c>
      <c r="B163" s="39"/>
      <c r="C163" s="39" t="s">
        <v>193</v>
      </c>
      <c r="D163" s="39" t="s">
        <v>191</v>
      </c>
      <c r="E163" s="39"/>
      <c r="F163" s="39"/>
      <c r="G163" s="39"/>
      <c r="H163" s="42">
        <f>113273.73/6251*E160*0.95</f>
        <v>33259.0951914894</v>
      </c>
      <c r="I163" s="39"/>
      <c r="J163" s="39"/>
      <c r="K163" s="39">
        <f t="shared" si="65"/>
        <v>33259.0951914894</v>
      </c>
    </row>
    <row r="164" spans="1:11">
      <c r="A164" s="39">
        <v>43</v>
      </c>
      <c r="B164" s="39"/>
      <c r="C164" s="39" t="s">
        <v>194</v>
      </c>
      <c r="D164" s="39" t="s">
        <v>170</v>
      </c>
      <c r="E164" s="39"/>
      <c r="F164" s="42">
        <f>683734.38/6251*E160*0.95</f>
        <v>200756.052</v>
      </c>
      <c r="G164" s="39"/>
      <c r="H164" s="42"/>
      <c r="I164" s="39">
        <f>ROUND(F164*0.02,2)</f>
        <v>4015.12</v>
      </c>
      <c r="J164" s="39">
        <f>ROUND(F164*0.05,2)</f>
        <v>10037.8</v>
      </c>
      <c r="K164" s="39">
        <f t="shared" si="65"/>
        <v>214808.972</v>
      </c>
    </row>
    <row r="165" spans="1:11">
      <c r="A165" s="39">
        <v>44</v>
      </c>
      <c r="B165" s="39"/>
      <c r="C165" s="39" t="s">
        <v>195</v>
      </c>
      <c r="D165" s="39" t="s">
        <v>196</v>
      </c>
      <c r="E165" s="39"/>
      <c r="F165" s="39"/>
      <c r="G165" s="39"/>
      <c r="H165" s="42">
        <f>1498610.3/6251*E160*0.95</f>
        <v>440017.492340426</v>
      </c>
      <c r="I165" s="39"/>
      <c r="J165" s="39"/>
      <c r="K165" s="39">
        <f t="shared" si="65"/>
        <v>440017.492340426</v>
      </c>
    </row>
    <row r="166" spans="1:13">
      <c r="A166" s="39" t="s">
        <v>9</v>
      </c>
      <c r="B166" s="39" t="s">
        <v>9</v>
      </c>
      <c r="C166" s="39" t="s">
        <v>164</v>
      </c>
      <c r="D166" s="39"/>
      <c r="E166" s="39"/>
      <c r="F166" s="45">
        <f>SUM(F120,F131,F138,F142,F147,F151,F154,F157,F160,)</f>
        <v>3291096.628</v>
      </c>
      <c r="G166" s="45">
        <f t="shared" ref="F166:J166" si="70">SUM(G120,G131,G138,G142,G147,G151,G154,G157,G160,)</f>
        <v>2207618.45804</v>
      </c>
      <c r="H166" s="45">
        <f t="shared" si="70"/>
        <v>533403.948</v>
      </c>
      <c r="I166" s="45">
        <f t="shared" si="70"/>
        <v>65821.93</v>
      </c>
      <c r="J166" s="45">
        <f t="shared" si="70"/>
        <v>164554.82</v>
      </c>
      <c r="K166" s="39">
        <f t="shared" si="65"/>
        <v>6262495.78404</v>
      </c>
      <c r="M166">
        <f>ROUND(K166/E157,2)</f>
        <v>1469.9</v>
      </c>
    </row>
    <row r="167" ht="122.4" customHeight="1"/>
    <row r="168" spans="7:11">
      <c r="G168" s="20" t="s">
        <v>29</v>
      </c>
      <c r="H168" s="20" t="s">
        <v>0</v>
      </c>
      <c r="I168" s="20" t="s">
        <v>0</v>
      </c>
      <c r="J168" s="20" t="s">
        <v>0</v>
      </c>
      <c r="K168" s="20" t="s">
        <v>0</v>
      </c>
    </row>
    <row r="169" ht="19.8" customHeight="1" spans="1:11">
      <c r="A169" s="36" t="s">
        <v>0</v>
      </c>
      <c r="B169" s="36" t="s">
        <v>0</v>
      </c>
      <c r="C169" s="37" t="s">
        <v>307</v>
      </c>
      <c r="D169" s="37" t="s">
        <v>0</v>
      </c>
      <c r="E169" s="37" t="s">
        <v>0</v>
      </c>
      <c r="F169" s="37" t="s">
        <v>0</v>
      </c>
      <c r="G169" s="37" t="s">
        <v>0</v>
      </c>
      <c r="H169" s="37" t="s">
        <v>0</v>
      </c>
      <c r="I169" s="37" t="s">
        <v>0</v>
      </c>
      <c r="J169" s="43" t="s">
        <v>424</v>
      </c>
      <c r="K169" s="43" t="s">
        <v>0</v>
      </c>
    </row>
    <row r="170" spans="1:11">
      <c r="A170" s="38" t="s">
        <v>130</v>
      </c>
      <c r="B170" s="38" t="s">
        <v>0</v>
      </c>
      <c r="C170" s="38" t="s">
        <v>0</v>
      </c>
      <c r="D170" s="38" t="s">
        <v>0</v>
      </c>
      <c r="E170" s="38" t="s">
        <v>0</v>
      </c>
      <c r="F170" s="38" t="s">
        <v>0</v>
      </c>
      <c r="G170" s="38" t="s">
        <v>0</v>
      </c>
      <c r="H170" s="38" t="s">
        <v>0</v>
      </c>
      <c r="I170" s="38" t="s">
        <v>0</v>
      </c>
      <c r="J170" s="38" t="s">
        <v>0</v>
      </c>
      <c r="K170" s="38" t="s">
        <v>0</v>
      </c>
    </row>
    <row r="171" spans="1:11">
      <c r="A171" s="20" t="s">
        <v>24</v>
      </c>
      <c r="B171" s="20" t="s">
        <v>0</v>
      </c>
      <c r="C171" s="13" t="s">
        <v>347</v>
      </c>
      <c r="D171" s="13" t="s">
        <v>0</v>
      </c>
      <c r="E171" s="13" t="s">
        <v>0</v>
      </c>
      <c r="F171" s="13" t="s">
        <v>0</v>
      </c>
      <c r="G171" s="13" t="s">
        <v>0</v>
      </c>
      <c r="H171" s="13" t="s">
        <v>0</v>
      </c>
      <c r="I171" s="13" t="s">
        <v>0</v>
      </c>
      <c r="J171" s="13" t="s">
        <v>132</v>
      </c>
      <c r="K171" s="13" t="s">
        <v>0</v>
      </c>
    </row>
    <row r="172" spans="1:11">
      <c r="A172" s="20" t="s">
        <v>133</v>
      </c>
      <c r="B172" s="20" t="s">
        <v>0</v>
      </c>
      <c r="C172" s="13" t="s">
        <v>385</v>
      </c>
      <c r="D172" s="13" t="s">
        <v>0</v>
      </c>
      <c r="E172" s="13" t="s">
        <v>0</v>
      </c>
      <c r="F172" s="13" t="s">
        <v>0</v>
      </c>
      <c r="G172" s="13" t="s">
        <v>0</v>
      </c>
      <c r="H172" s="13" t="s">
        <v>0</v>
      </c>
      <c r="I172" s="13" t="s">
        <v>0</v>
      </c>
      <c r="J172" s="13" t="s">
        <v>386</v>
      </c>
      <c r="K172" s="13" t="s">
        <v>0</v>
      </c>
    </row>
    <row r="173" spans="1:11">
      <c r="A173" s="20" t="s">
        <v>136</v>
      </c>
      <c r="B173" s="20" t="s">
        <v>0</v>
      </c>
      <c r="C173" s="13" t="s">
        <v>425</v>
      </c>
      <c r="D173" s="13" t="s">
        <v>0</v>
      </c>
      <c r="E173" s="13" t="s">
        <v>0</v>
      </c>
      <c r="F173" s="13" t="s">
        <v>0</v>
      </c>
      <c r="G173" s="13" t="s">
        <v>0</v>
      </c>
      <c r="H173" s="13" t="s">
        <v>0</v>
      </c>
      <c r="I173" s="13" t="s">
        <v>0</v>
      </c>
      <c r="J173" s="13" t="e">
        <f>"综合单价："&amp;$M$222&amp;"元 "</f>
        <v>#DIV/0!</v>
      </c>
      <c r="K173" s="13" t="s">
        <v>0</v>
      </c>
    </row>
    <row r="174" spans="1:11">
      <c r="A174" s="39" t="s">
        <v>32</v>
      </c>
      <c r="B174" s="39" t="s">
        <v>138</v>
      </c>
      <c r="C174" s="39" t="s">
        <v>139</v>
      </c>
      <c r="D174" s="39" t="s">
        <v>110</v>
      </c>
      <c r="E174" s="39" t="s">
        <v>140</v>
      </c>
      <c r="F174" s="39" t="s">
        <v>414</v>
      </c>
      <c r="G174" s="39" t="s">
        <v>0</v>
      </c>
      <c r="H174" s="39" t="s">
        <v>0</v>
      </c>
      <c r="I174" s="39" t="s">
        <v>0</v>
      </c>
      <c r="J174" s="39" t="s">
        <v>0</v>
      </c>
      <c r="K174" s="39" t="s">
        <v>0</v>
      </c>
    </row>
    <row r="175" spans="1:11">
      <c r="A175" s="39" t="s">
        <v>0</v>
      </c>
      <c r="B175" s="39" t="s">
        <v>0</v>
      </c>
      <c r="C175" s="39" t="s">
        <v>0</v>
      </c>
      <c r="D175" s="39" t="s">
        <v>0</v>
      </c>
      <c r="E175" s="39" t="s">
        <v>0</v>
      </c>
      <c r="F175" s="39" t="s">
        <v>115</v>
      </c>
      <c r="G175" s="39" t="s">
        <v>116</v>
      </c>
      <c r="H175" s="39" t="s">
        <v>117</v>
      </c>
      <c r="I175" s="39" t="s">
        <v>118</v>
      </c>
      <c r="J175" s="39" t="s">
        <v>119</v>
      </c>
      <c r="K175" s="39" t="s">
        <v>142</v>
      </c>
    </row>
    <row r="176" spans="1:11">
      <c r="A176" s="39" t="s">
        <v>53</v>
      </c>
      <c r="B176" s="39" t="s">
        <v>388</v>
      </c>
      <c r="C176" s="39" t="s">
        <v>352</v>
      </c>
      <c r="D176" s="39" t="s">
        <v>121</v>
      </c>
      <c r="E176" s="39"/>
      <c r="F176" s="39">
        <f t="shared" ref="F176:J176" si="71">SUM(F177:F186)</f>
        <v>0</v>
      </c>
      <c r="G176" s="39" t="s">
        <v>0</v>
      </c>
      <c r="H176" s="39" t="s">
        <v>0</v>
      </c>
      <c r="I176" s="39">
        <f t="shared" si="71"/>
        <v>0</v>
      </c>
      <c r="J176" s="39">
        <f t="shared" si="71"/>
        <v>0</v>
      </c>
      <c r="K176" s="39">
        <f>SUM(F176:J176)</f>
        <v>0</v>
      </c>
    </row>
    <row r="177" spans="1:11">
      <c r="A177" s="39" t="s">
        <v>60</v>
      </c>
      <c r="B177" s="39"/>
      <c r="C177" s="39" t="s">
        <v>320</v>
      </c>
      <c r="D177" s="39" t="s">
        <v>170</v>
      </c>
      <c r="E177" s="40"/>
      <c r="F177" s="42">
        <f>E177*$L$9*0.95</f>
        <v>0</v>
      </c>
      <c r="G177" s="39"/>
      <c r="H177" s="39"/>
      <c r="I177" s="39">
        <f t="shared" ref="I177:I178" si="72">ROUND(F177*0.02,2)</f>
        <v>0</v>
      </c>
      <c r="J177" s="39">
        <f t="shared" ref="J177" si="73">ROUND(F177*0.05,2)</f>
        <v>0</v>
      </c>
      <c r="K177" s="39">
        <f t="shared" ref="K177:K187" si="74">SUM(F177:J177)</f>
        <v>0</v>
      </c>
    </row>
    <row r="178" spans="1:11">
      <c r="A178" s="39" t="s">
        <v>64</v>
      </c>
      <c r="B178" s="39"/>
      <c r="C178" s="39" t="s">
        <v>169</v>
      </c>
      <c r="D178" s="39" t="s">
        <v>170</v>
      </c>
      <c r="E178" s="40"/>
      <c r="F178" s="42">
        <f>E178*$L$9*0.95</f>
        <v>0</v>
      </c>
      <c r="G178" s="39"/>
      <c r="H178" s="39"/>
      <c r="I178" s="39">
        <f t="shared" si="72"/>
        <v>0</v>
      </c>
      <c r="J178" s="39">
        <f t="shared" ref="J178:J186" si="75">ROUND(F178*0.05,2)</f>
        <v>0</v>
      </c>
      <c r="K178" s="39">
        <f t="shared" si="74"/>
        <v>0</v>
      </c>
    </row>
    <row r="179" spans="1:11">
      <c r="A179" s="39" t="s">
        <v>74</v>
      </c>
      <c r="B179" s="39"/>
      <c r="C179" s="39" t="s">
        <v>321</v>
      </c>
      <c r="D179" s="39" t="s">
        <v>170</v>
      </c>
      <c r="E179" s="40"/>
      <c r="F179" s="42">
        <f>E179*$L$9*0.95</f>
        <v>0</v>
      </c>
      <c r="G179" s="39"/>
      <c r="H179" s="39"/>
      <c r="I179" s="39">
        <f t="shared" ref="I178:I186" si="76">ROUND(F179*0.02,2)</f>
        <v>0</v>
      </c>
      <c r="J179" s="39">
        <f t="shared" si="75"/>
        <v>0</v>
      </c>
      <c r="K179" s="39">
        <f t="shared" si="74"/>
        <v>0</v>
      </c>
    </row>
    <row r="180" spans="1:11">
      <c r="A180" s="39" t="s">
        <v>75</v>
      </c>
      <c r="B180" s="39"/>
      <c r="C180" s="39" t="s">
        <v>322</v>
      </c>
      <c r="D180" s="39" t="s">
        <v>170</v>
      </c>
      <c r="E180" s="40"/>
      <c r="F180" s="42">
        <f t="shared" ref="F180:F186" si="77">E180*$L$10*0.95</f>
        <v>0</v>
      </c>
      <c r="G180" s="39"/>
      <c r="H180" s="39"/>
      <c r="I180" s="39">
        <f t="shared" si="76"/>
        <v>0</v>
      </c>
      <c r="J180" s="39">
        <f t="shared" si="75"/>
        <v>0</v>
      </c>
      <c r="K180" s="39">
        <f t="shared" si="74"/>
        <v>0</v>
      </c>
    </row>
    <row r="181" spans="1:11">
      <c r="A181" s="39" t="s">
        <v>77</v>
      </c>
      <c r="B181" s="39"/>
      <c r="C181" s="39" t="s">
        <v>323</v>
      </c>
      <c r="D181" s="39" t="s">
        <v>170</v>
      </c>
      <c r="E181" s="40"/>
      <c r="F181" s="42">
        <f t="shared" si="77"/>
        <v>0</v>
      </c>
      <c r="G181" s="39"/>
      <c r="H181" s="39"/>
      <c r="I181" s="39">
        <f t="shared" si="76"/>
        <v>0</v>
      </c>
      <c r="J181" s="39">
        <f t="shared" si="75"/>
        <v>0</v>
      </c>
      <c r="K181" s="39">
        <f t="shared" si="74"/>
        <v>0</v>
      </c>
    </row>
    <row r="182" spans="1:11">
      <c r="A182" s="39" t="s">
        <v>81</v>
      </c>
      <c r="B182" s="39"/>
      <c r="C182" s="39" t="s">
        <v>324</v>
      </c>
      <c r="D182" s="39" t="s">
        <v>170</v>
      </c>
      <c r="E182" s="40"/>
      <c r="F182" s="42">
        <f t="shared" si="77"/>
        <v>0</v>
      </c>
      <c r="G182" s="39"/>
      <c r="H182" s="39"/>
      <c r="I182" s="39">
        <f t="shared" si="76"/>
        <v>0</v>
      </c>
      <c r="J182" s="39">
        <f t="shared" si="75"/>
        <v>0</v>
      </c>
      <c r="K182" s="39">
        <f t="shared" si="74"/>
        <v>0</v>
      </c>
    </row>
    <row r="183" spans="1:11">
      <c r="A183" s="39" t="s">
        <v>157</v>
      </c>
      <c r="B183" s="39"/>
      <c r="C183" s="39" t="s">
        <v>325</v>
      </c>
      <c r="D183" s="39" t="s">
        <v>170</v>
      </c>
      <c r="E183" s="40"/>
      <c r="F183" s="42">
        <f t="shared" si="77"/>
        <v>0</v>
      </c>
      <c r="G183" s="39"/>
      <c r="H183" s="39"/>
      <c r="I183" s="39">
        <f t="shared" si="76"/>
        <v>0</v>
      </c>
      <c r="J183" s="39">
        <f t="shared" si="75"/>
        <v>0</v>
      </c>
      <c r="K183" s="39">
        <f t="shared" si="74"/>
        <v>0</v>
      </c>
    </row>
    <row r="184" spans="1:11">
      <c r="A184" s="39" t="s">
        <v>160</v>
      </c>
      <c r="B184" s="39"/>
      <c r="C184" s="39" t="s">
        <v>326</v>
      </c>
      <c r="D184" s="39" t="s">
        <v>170</v>
      </c>
      <c r="E184" s="40"/>
      <c r="F184" s="42">
        <f t="shared" si="77"/>
        <v>0</v>
      </c>
      <c r="G184" s="39"/>
      <c r="H184" s="39" t="s">
        <v>0</v>
      </c>
      <c r="I184" s="39">
        <f t="shared" si="76"/>
        <v>0</v>
      </c>
      <c r="J184" s="39">
        <f t="shared" si="75"/>
        <v>0</v>
      </c>
      <c r="K184" s="39">
        <f t="shared" si="74"/>
        <v>0</v>
      </c>
    </row>
    <row r="185" spans="1:11">
      <c r="A185" s="39" t="s">
        <v>278</v>
      </c>
      <c r="B185" s="39"/>
      <c r="C185" s="39" t="s">
        <v>171</v>
      </c>
      <c r="D185" s="39" t="s">
        <v>170</v>
      </c>
      <c r="E185" s="40"/>
      <c r="F185" s="42">
        <f t="shared" si="77"/>
        <v>0</v>
      </c>
      <c r="G185" s="39"/>
      <c r="H185" s="39"/>
      <c r="I185" s="39">
        <f t="shared" si="76"/>
        <v>0</v>
      </c>
      <c r="J185" s="39">
        <f t="shared" si="75"/>
        <v>0</v>
      </c>
      <c r="K185" s="39">
        <f t="shared" si="74"/>
        <v>0</v>
      </c>
    </row>
    <row r="186" spans="1:11">
      <c r="A186" s="39" t="s">
        <v>280</v>
      </c>
      <c r="B186" s="39"/>
      <c r="C186" s="39" t="s">
        <v>172</v>
      </c>
      <c r="D186" s="39" t="s">
        <v>170</v>
      </c>
      <c r="E186" s="40"/>
      <c r="F186" s="42">
        <f t="shared" si="77"/>
        <v>0</v>
      </c>
      <c r="G186" s="39"/>
      <c r="H186" s="39"/>
      <c r="I186" s="39">
        <f t="shared" si="76"/>
        <v>0</v>
      </c>
      <c r="J186" s="39">
        <f t="shared" si="75"/>
        <v>0</v>
      </c>
      <c r="K186" s="39">
        <f t="shared" si="74"/>
        <v>0</v>
      </c>
    </row>
    <row r="187" spans="1:11">
      <c r="A187" s="39" t="s">
        <v>282</v>
      </c>
      <c r="B187" s="39" t="s">
        <v>389</v>
      </c>
      <c r="C187" s="39" t="s">
        <v>146</v>
      </c>
      <c r="D187" s="39" t="s">
        <v>121</v>
      </c>
      <c r="E187" s="39"/>
      <c r="F187" s="39">
        <f>SUM(F188:F193)</f>
        <v>0</v>
      </c>
      <c r="G187" s="39">
        <f>SUM(G188:G193)</f>
        <v>0</v>
      </c>
      <c r="H187" s="39"/>
      <c r="I187" s="39">
        <f t="shared" ref="I186:I190" si="78">ROUND(F187*0.02,2)</f>
        <v>0</v>
      </c>
      <c r="J187" s="39">
        <f t="shared" ref="J186:J190" si="79">ROUND(F187*0.05,2)</f>
        <v>0</v>
      </c>
      <c r="K187" s="39">
        <f t="shared" si="74"/>
        <v>0</v>
      </c>
    </row>
    <row r="188" spans="1:11">
      <c r="A188" s="39" t="s">
        <v>284</v>
      </c>
      <c r="B188" s="39"/>
      <c r="C188" s="39" t="s">
        <v>173</v>
      </c>
      <c r="D188" s="39" t="s">
        <v>170</v>
      </c>
      <c r="E188" s="40"/>
      <c r="F188" s="42">
        <f>E188*$L$10*0.95</f>
        <v>0</v>
      </c>
      <c r="G188" s="39" t="s">
        <v>0</v>
      </c>
      <c r="H188" s="39"/>
      <c r="I188" s="39">
        <f t="shared" si="78"/>
        <v>0</v>
      </c>
      <c r="J188" s="39">
        <f t="shared" si="79"/>
        <v>0</v>
      </c>
      <c r="K188" s="39">
        <f t="shared" ref="K188:K199" si="80">SUM(F188:J188)</f>
        <v>0</v>
      </c>
    </row>
    <row r="189" spans="1:11">
      <c r="A189" s="39" t="s">
        <v>286</v>
      </c>
      <c r="B189" s="39"/>
      <c r="C189" s="39" t="s">
        <v>174</v>
      </c>
      <c r="D189" s="39" t="s">
        <v>170</v>
      </c>
      <c r="E189" s="40"/>
      <c r="F189" s="42">
        <f>E189*$L$10*0.95</f>
        <v>0</v>
      </c>
      <c r="G189" s="39" t="s">
        <v>0</v>
      </c>
      <c r="H189" s="39"/>
      <c r="I189" s="39">
        <f t="shared" si="78"/>
        <v>0</v>
      </c>
      <c r="J189" s="39">
        <f t="shared" si="79"/>
        <v>0</v>
      </c>
      <c r="K189" s="39">
        <f t="shared" si="80"/>
        <v>0</v>
      </c>
    </row>
    <row r="190" spans="1:11">
      <c r="A190" s="39" t="s">
        <v>288</v>
      </c>
      <c r="B190" s="39"/>
      <c r="C190" s="39" t="s">
        <v>175</v>
      </c>
      <c r="D190" s="39" t="s">
        <v>170</v>
      </c>
      <c r="E190" s="40"/>
      <c r="F190" s="42">
        <f>E190*$L$10*0.95</f>
        <v>0</v>
      </c>
      <c r="G190" s="39" t="s">
        <v>0</v>
      </c>
      <c r="H190" s="39"/>
      <c r="I190" s="39">
        <f t="shared" si="78"/>
        <v>0</v>
      </c>
      <c r="J190" s="39">
        <f t="shared" si="79"/>
        <v>0</v>
      </c>
      <c r="K190" s="39">
        <f t="shared" si="80"/>
        <v>0</v>
      </c>
    </row>
    <row r="191" spans="1:12">
      <c r="A191" s="39" t="s">
        <v>291</v>
      </c>
      <c r="B191" s="39"/>
      <c r="C191" s="39" t="s">
        <v>415</v>
      </c>
      <c r="D191" s="39" t="s">
        <v>177</v>
      </c>
      <c r="E191" s="40"/>
      <c r="F191" s="39" t="s">
        <v>0</v>
      </c>
      <c r="G191" s="42">
        <f>E191*L191*0.95</f>
        <v>0</v>
      </c>
      <c r="H191" s="39"/>
      <c r="I191" s="39"/>
      <c r="J191" s="39"/>
      <c r="K191" s="39">
        <f t="shared" si="80"/>
        <v>0</v>
      </c>
      <c r="L191">
        <v>3.83</v>
      </c>
    </row>
    <row r="192" spans="1:12">
      <c r="A192" s="39" t="s">
        <v>293</v>
      </c>
      <c r="B192" s="39"/>
      <c r="C192" s="39" t="s">
        <v>178</v>
      </c>
      <c r="D192" s="39" t="s">
        <v>177</v>
      </c>
      <c r="E192" s="40"/>
      <c r="F192" s="39" t="s">
        <v>0</v>
      </c>
      <c r="G192" s="42">
        <f>E192*L192*0.95</f>
        <v>0</v>
      </c>
      <c r="H192" s="39" t="s">
        <v>0</v>
      </c>
      <c r="I192" s="39"/>
      <c r="J192" s="39"/>
      <c r="K192" s="39">
        <f t="shared" si="80"/>
        <v>0</v>
      </c>
      <c r="L192">
        <v>4.83</v>
      </c>
    </row>
    <row r="193" spans="1:11">
      <c r="A193" s="39" t="s">
        <v>296</v>
      </c>
      <c r="B193" s="39"/>
      <c r="C193" s="39" t="s">
        <v>179</v>
      </c>
      <c r="D193" s="39" t="s">
        <v>170</v>
      </c>
      <c r="E193" s="40"/>
      <c r="F193" s="42">
        <f>E193*$L$10*0.95</f>
        <v>0</v>
      </c>
      <c r="G193" s="39" t="s">
        <v>0</v>
      </c>
      <c r="H193" s="39"/>
      <c r="I193" s="46">
        <f>ROUND(F193*0.02,2)</f>
        <v>0</v>
      </c>
      <c r="J193" s="39">
        <f>ROUND(F193*0.05,2)</f>
        <v>0</v>
      </c>
      <c r="K193" s="39">
        <f t="shared" si="80"/>
        <v>0</v>
      </c>
    </row>
    <row r="194" spans="1:11">
      <c r="A194" s="39">
        <v>19</v>
      </c>
      <c r="B194" s="39" t="s">
        <v>390</v>
      </c>
      <c r="C194" s="39" t="s">
        <v>148</v>
      </c>
      <c r="D194" s="39" t="s">
        <v>121</v>
      </c>
      <c r="E194" s="39"/>
      <c r="F194" s="39">
        <f>SUM(F195:F197)</f>
        <v>0</v>
      </c>
      <c r="G194" s="39">
        <f>SUM(G195:G197)</f>
        <v>0</v>
      </c>
      <c r="H194" s="39" t="s">
        <v>0</v>
      </c>
      <c r="I194" s="39">
        <f t="shared" ref="I194:I195" si="81">ROUND(F194*0.02,2)</f>
        <v>0</v>
      </c>
      <c r="J194" s="39">
        <f t="shared" ref="J194:J195" si="82">ROUND(F194*0.05,2)</f>
        <v>0</v>
      </c>
      <c r="K194" s="39">
        <f t="shared" si="80"/>
        <v>0</v>
      </c>
    </row>
    <row r="195" spans="1:11">
      <c r="A195" s="39">
        <v>20</v>
      </c>
      <c r="B195" s="39"/>
      <c r="C195" s="39" t="s">
        <v>148</v>
      </c>
      <c r="D195" s="39" t="s">
        <v>170</v>
      </c>
      <c r="E195" s="40"/>
      <c r="F195" s="42">
        <f>E195*$L$10*0.95</f>
        <v>0</v>
      </c>
      <c r="G195" s="39" t="s">
        <v>0</v>
      </c>
      <c r="H195" s="39"/>
      <c r="I195" s="39">
        <f t="shared" si="81"/>
        <v>0</v>
      </c>
      <c r="J195" s="39">
        <f t="shared" si="82"/>
        <v>0</v>
      </c>
      <c r="K195" s="39">
        <f t="shared" si="80"/>
        <v>0</v>
      </c>
    </row>
    <row r="196" s="34" customFormat="1" spans="1:12">
      <c r="A196" s="39">
        <v>21</v>
      </c>
      <c r="B196" s="39"/>
      <c r="C196" s="39" t="s">
        <v>180</v>
      </c>
      <c r="D196" s="39" t="s">
        <v>181</v>
      </c>
      <c r="E196" s="40"/>
      <c r="F196" s="39" t="s">
        <v>0</v>
      </c>
      <c r="G196" s="42">
        <f>E196*0.95</f>
        <v>0</v>
      </c>
      <c r="H196" s="39"/>
      <c r="I196" s="39"/>
      <c r="J196" s="39"/>
      <c r="K196" s="39">
        <f t="shared" si="80"/>
        <v>0</v>
      </c>
      <c r="L196" s="34">
        <v>12561.28</v>
      </c>
    </row>
    <row r="197" s="34" customFormat="1" spans="1:13">
      <c r="A197" s="39">
        <v>22</v>
      </c>
      <c r="B197" s="39"/>
      <c r="C197" s="39" t="s">
        <v>182</v>
      </c>
      <c r="D197" s="39" t="s">
        <v>181</v>
      </c>
      <c r="E197" s="40"/>
      <c r="F197" s="39" t="s">
        <v>0</v>
      </c>
      <c r="G197" s="42">
        <f>E197*M197*0.95</f>
        <v>0</v>
      </c>
      <c r="H197" s="39"/>
      <c r="I197" s="39"/>
      <c r="J197" s="39"/>
      <c r="K197" s="39">
        <f t="shared" si="80"/>
        <v>0</v>
      </c>
      <c r="L197" s="34">
        <v>330.56</v>
      </c>
      <c r="M197" s="34">
        <v>3</v>
      </c>
    </row>
    <row r="198" spans="1:11">
      <c r="A198" s="39">
        <v>23</v>
      </c>
      <c r="B198" s="39" t="s">
        <v>391</v>
      </c>
      <c r="C198" s="39" t="s">
        <v>150</v>
      </c>
      <c r="D198" s="39" t="s">
        <v>121</v>
      </c>
      <c r="E198" s="39"/>
      <c r="F198" s="39">
        <f>SUM(F199:F200)</f>
        <v>0</v>
      </c>
      <c r="G198" s="39"/>
      <c r="H198" s="39"/>
      <c r="I198" s="39">
        <f t="shared" ref="I198:I199" si="83">ROUND(F198*0.02,2)</f>
        <v>0</v>
      </c>
      <c r="J198" s="39">
        <f t="shared" ref="J198" si="84">ROUND(F198*0.05,2)</f>
        <v>0</v>
      </c>
      <c r="K198" s="39">
        <f t="shared" ref="K198:K210" si="85">SUM(F198:J198)</f>
        <v>0</v>
      </c>
    </row>
    <row r="199" spans="1:11">
      <c r="A199" s="39">
        <v>24</v>
      </c>
      <c r="B199" s="39"/>
      <c r="C199" s="39" t="s">
        <v>183</v>
      </c>
      <c r="D199" s="39" t="s">
        <v>170</v>
      </c>
      <c r="E199" s="40"/>
      <c r="F199" s="42">
        <f>E199*$L$10*0.95</f>
        <v>0</v>
      </c>
      <c r="G199" s="39"/>
      <c r="H199" s="39" t="s">
        <v>0</v>
      </c>
      <c r="I199" s="39">
        <f t="shared" si="83"/>
        <v>0</v>
      </c>
      <c r="J199" s="39">
        <f t="shared" ref="J199" si="86">ROUND(F199*0.05,2)</f>
        <v>0</v>
      </c>
      <c r="K199" s="39">
        <f t="shared" si="85"/>
        <v>0</v>
      </c>
    </row>
    <row r="200" spans="1:11">
      <c r="A200" s="39">
        <v>25</v>
      </c>
      <c r="B200" s="39"/>
      <c r="C200" s="39" t="s">
        <v>184</v>
      </c>
      <c r="D200" s="39" t="s">
        <v>185</v>
      </c>
      <c r="E200" s="39"/>
      <c r="F200" s="39"/>
      <c r="G200" s="39"/>
      <c r="H200" s="39"/>
      <c r="I200" s="39"/>
      <c r="J200" s="39"/>
      <c r="K200" s="39"/>
    </row>
    <row r="201" ht="19.8" customHeight="1" spans="1:11">
      <c r="A201" s="36" t="s">
        <v>0</v>
      </c>
      <c r="B201" s="36" t="s">
        <v>0</v>
      </c>
      <c r="C201" s="37" t="s">
        <v>307</v>
      </c>
      <c r="D201" s="37" t="s">
        <v>0</v>
      </c>
      <c r="E201" s="37" t="s">
        <v>0</v>
      </c>
      <c r="F201" s="37" t="s">
        <v>0</v>
      </c>
      <c r="G201" s="37" t="s">
        <v>0</v>
      </c>
      <c r="H201" s="37" t="s">
        <v>0</v>
      </c>
      <c r="I201" s="37" t="s">
        <v>0</v>
      </c>
      <c r="J201" s="43" t="s">
        <v>426</v>
      </c>
      <c r="K201" s="43" t="s">
        <v>0</v>
      </c>
    </row>
    <row r="202" spans="1:11">
      <c r="A202" s="38" t="s">
        <v>130</v>
      </c>
      <c r="B202" s="38" t="s">
        <v>0</v>
      </c>
      <c r="C202" s="38" t="s">
        <v>0</v>
      </c>
      <c r="D202" s="38" t="s">
        <v>0</v>
      </c>
      <c r="E202" s="38" t="s">
        <v>0</v>
      </c>
      <c r="F202" s="38" t="s">
        <v>0</v>
      </c>
      <c r="G202" s="38" t="s">
        <v>0</v>
      </c>
      <c r="H202" s="38" t="s">
        <v>0</v>
      </c>
      <c r="I202" s="38" t="s">
        <v>0</v>
      </c>
      <c r="J202" s="38" t="s">
        <v>0</v>
      </c>
      <c r="K202" s="38" t="s">
        <v>0</v>
      </c>
    </row>
    <row r="203" spans="1:11">
      <c r="A203" s="39">
        <v>26</v>
      </c>
      <c r="B203" s="39" t="s">
        <v>392</v>
      </c>
      <c r="C203" s="39" t="s">
        <v>152</v>
      </c>
      <c r="D203" s="39" t="s">
        <v>121</v>
      </c>
      <c r="E203" s="39"/>
      <c r="F203" s="39">
        <f>SUM(F204:F206)</f>
        <v>0</v>
      </c>
      <c r="G203" s="39">
        <f>SUM(G204:G206)</f>
        <v>0</v>
      </c>
      <c r="H203" s="39"/>
      <c r="I203" s="39">
        <f t="shared" ref="I203:I207" si="87">ROUND(F203*0.02,2)</f>
        <v>0</v>
      </c>
      <c r="J203" s="39">
        <f t="shared" ref="J203:J207" si="88">ROUND(F203*0.05,2)</f>
        <v>0</v>
      </c>
      <c r="K203" s="39">
        <f t="shared" si="85"/>
        <v>0</v>
      </c>
    </row>
    <row r="204" spans="1:11">
      <c r="A204" s="39">
        <v>27</v>
      </c>
      <c r="B204" s="39"/>
      <c r="C204" s="39" t="s">
        <v>152</v>
      </c>
      <c r="D204" s="39" t="s">
        <v>170</v>
      </c>
      <c r="E204" s="40"/>
      <c r="F204" s="42">
        <f>E204*$L$10*0.95</f>
        <v>0</v>
      </c>
      <c r="G204" s="39" t="s">
        <v>0</v>
      </c>
      <c r="H204" s="39"/>
      <c r="I204" s="39">
        <f t="shared" si="87"/>
        <v>0</v>
      </c>
      <c r="J204" s="39">
        <f t="shared" si="88"/>
        <v>0</v>
      </c>
      <c r="K204" s="39">
        <f t="shared" si="85"/>
        <v>0</v>
      </c>
    </row>
    <row r="205" spans="1:12">
      <c r="A205" s="39">
        <v>28</v>
      </c>
      <c r="B205" s="39"/>
      <c r="C205" s="39" t="s">
        <v>415</v>
      </c>
      <c r="D205" s="39" t="s">
        <v>177</v>
      </c>
      <c r="E205" s="40"/>
      <c r="F205" s="39" t="s">
        <v>0</v>
      </c>
      <c r="G205" s="42">
        <f>E205*L205*0.95</f>
        <v>0</v>
      </c>
      <c r="H205" s="39"/>
      <c r="I205" s="39"/>
      <c r="J205" s="39"/>
      <c r="K205" s="39">
        <f t="shared" si="85"/>
        <v>0</v>
      </c>
      <c r="L205">
        <v>3.83</v>
      </c>
    </row>
    <row r="206" spans="1:12">
      <c r="A206" s="39">
        <v>29</v>
      </c>
      <c r="B206" s="39"/>
      <c r="C206" s="39" t="s">
        <v>178</v>
      </c>
      <c r="D206" s="39" t="s">
        <v>177</v>
      </c>
      <c r="E206" s="40"/>
      <c r="F206" s="39" t="s">
        <v>0</v>
      </c>
      <c r="G206" s="42">
        <f>E206*L206*0.95</f>
        <v>0</v>
      </c>
      <c r="H206" s="39" t="s">
        <v>0</v>
      </c>
      <c r="I206" s="39"/>
      <c r="J206" s="39"/>
      <c r="K206" s="39">
        <f t="shared" si="85"/>
        <v>0</v>
      </c>
      <c r="L206">
        <v>4.83</v>
      </c>
    </row>
    <row r="207" spans="1:11">
      <c r="A207" s="39">
        <v>30</v>
      </c>
      <c r="B207" s="39" t="s">
        <v>393</v>
      </c>
      <c r="C207" s="39" t="s">
        <v>154</v>
      </c>
      <c r="D207" s="39" t="s">
        <v>121</v>
      </c>
      <c r="E207" s="39"/>
      <c r="F207" s="39">
        <f>SUM(F208:F209)</f>
        <v>0</v>
      </c>
      <c r="G207" s="39">
        <f>SUM(G208:G209)</f>
        <v>0</v>
      </c>
      <c r="H207" s="39"/>
      <c r="I207" s="39">
        <f t="shared" si="87"/>
        <v>0</v>
      </c>
      <c r="J207" s="39">
        <f t="shared" si="88"/>
        <v>0</v>
      </c>
      <c r="K207" s="39">
        <f t="shared" si="85"/>
        <v>0</v>
      </c>
    </row>
    <row r="208" spans="1:11">
      <c r="A208" s="39">
        <v>31</v>
      </c>
      <c r="B208" s="39"/>
      <c r="C208" s="39" t="s">
        <v>154</v>
      </c>
      <c r="D208" s="39" t="s">
        <v>170</v>
      </c>
      <c r="E208" s="40"/>
      <c r="F208" s="42">
        <f>E208*$L$10*0.95</f>
        <v>0</v>
      </c>
      <c r="G208" s="39" t="s">
        <v>0</v>
      </c>
      <c r="H208" s="39"/>
      <c r="I208" s="39">
        <f t="shared" ref="I208" si="89">ROUND(F208*0.02,2)</f>
        <v>0</v>
      </c>
      <c r="J208" s="39">
        <f t="shared" ref="J208" si="90">ROUND(F208*0.05,2)</f>
        <v>0</v>
      </c>
      <c r="K208" s="39">
        <f t="shared" si="85"/>
        <v>0</v>
      </c>
    </row>
    <row r="209" s="34" customFormat="1" spans="1:13">
      <c r="A209" s="39">
        <v>32</v>
      </c>
      <c r="B209" s="39"/>
      <c r="C209" s="39" t="s">
        <v>182</v>
      </c>
      <c r="D209" s="39" t="s">
        <v>181</v>
      </c>
      <c r="E209" s="40"/>
      <c r="F209" s="39" t="s">
        <v>0</v>
      </c>
      <c r="G209" s="42">
        <f>E209*M209*0.95</f>
        <v>0</v>
      </c>
      <c r="H209" s="39"/>
      <c r="I209" s="39"/>
      <c r="J209" s="39"/>
      <c r="K209" s="39">
        <f t="shared" si="85"/>
        <v>0</v>
      </c>
      <c r="L209" s="34">
        <v>6743.424</v>
      </c>
      <c r="M209" s="34">
        <v>3</v>
      </c>
    </row>
    <row r="210" spans="1:11">
      <c r="A210" s="39">
        <v>33</v>
      </c>
      <c r="B210" s="39" t="s">
        <v>394</v>
      </c>
      <c r="C210" s="39" t="s">
        <v>156</v>
      </c>
      <c r="D210" s="39" t="s">
        <v>121</v>
      </c>
      <c r="E210" s="39"/>
      <c r="F210" s="39">
        <f>SUM(F211:F212)</f>
        <v>0</v>
      </c>
      <c r="G210" s="39">
        <f>SUM(G211:G212)</f>
        <v>0</v>
      </c>
      <c r="H210" s="39"/>
      <c r="I210" s="39">
        <f t="shared" ref="I209:I211" si="91">ROUND(F210*0.02,2)</f>
        <v>0</v>
      </c>
      <c r="J210" s="39">
        <f t="shared" ref="J209:J211" si="92">ROUND(F210*0.05,2)</f>
        <v>0</v>
      </c>
      <c r="K210" s="39">
        <f t="shared" si="85"/>
        <v>0</v>
      </c>
    </row>
    <row r="211" spans="1:11">
      <c r="A211" s="39">
        <v>34</v>
      </c>
      <c r="B211" s="39"/>
      <c r="C211" s="39" t="s">
        <v>156</v>
      </c>
      <c r="D211" s="39" t="s">
        <v>170</v>
      </c>
      <c r="E211" s="40"/>
      <c r="F211" s="42">
        <f>E211*$L$10*0.95</f>
        <v>0</v>
      </c>
      <c r="G211" s="39" t="s">
        <v>0</v>
      </c>
      <c r="H211" s="39"/>
      <c r="I211" s="39">
        <f t="shared" si="91"/>
        <v>0</v>
      </c>
      <c r="J211" s="39">
        <f t="shared" si="92"/>
        <v>0</v>
      </c>
      <c r="K211" s="39">
        <f t="shared" ref="K211:K222" si="93">SUM(F211:J211)</f>
        <v>0</v>
      </c>
    </row>
    <row r="212" s="34" customFormat="1" spans="1:13">
      <c r="A212" s="39">
        <v>35</v>
      </c>
      <c r="B212" s="39"/>
      <c r="C212" s="39" t="s">
        <v>187</v>
      </c>
      <c r="D212" s="39" t="s">
        <v>181</v>
      </c>
      <c r="E212" s="40"/>
      <c r="F212" s="39" t="s">
        <v>0</v>
      </c>
      <c r="G212" s="42">
        <f>E212*M212*0.95</f>
        <v>0</v>
      </c>
      <c r="H212" s="39"/>
      <c r="I212" s="39"/>
      <c r="J212" s="39"/>
      <c r="K212" s="39">
        <f t="shared" si="93"/>
        <v>0</v>
      </c>
      <c r="L212" s="34">
        <v>198.336</v>
      </c>
      <c r="M212" s="34">
        <v>23.3</v>
      </c>
    </row>
    <row r="213" spans="1:11">
      <c r="A213" s="39">
        <v>36</v>
      </c>
      <c r="B213" s="39" t="s">
        <v>395</v>
      </c>
      <c r="C213" s="39" t="s">
        <v>159</v>
      </c>
      <c r="D213" s="39" t="s">
        <v>121</v>
      </c>
      <c r="E213" s="39"/>
      <c r="F213" s="39">
        <f>SUM(F214:F215)</f>
        <v>0</v>
      </c>
      <c r="G213" s="39" t="s">
        <v>0</v>
      </c>
      <c r="H213" s="39" t="s">
        <v>0</v>
      </c>
      <c r="I213" s="39">
        <f t="shared" ref="I213:I214" si="94">ROUND(F213*0.02,2)</f>
        <v>0</v>
      </c>
      <c r="J213" s="39">
        <f t="shared" ref="J213:J214" si="95">ROUND(F213*0.05,2)</f>
        <v>0</v>
      </c>
      <c r="K213" s="39">
        <f t="shared" si="93"/>
        <v>0</v>
      </c>
    </row>
    <row r="214" spans="1:12">
      <c r="A214" s="39">
        <v>37</v>
      </c>
      <c r="B214" s="39"/>
      <c r="C214" s="39" t="s">
        <v>159</v>
      </c>
      <c r="D214" s="39" t="s">
        <v>121</v>
      </c>
      <c r="E214" s="40"/>
      <c r="F214" s="42">
        <f>E214*L214*0.95</f>
        <v>0</v>
      </c>
      <c r="G214" s="39"/>
      <c r="H214" s="39"/>
      <c r="I214" s="39">
        <f t="shared" si="94"/>
        <v>0</v>
      </c>
      <c r="J214" s="39">
        <f t="shared" si="95"/>
        <v>0</v>
      </c>
      <c r="K214" s="39">
        <f t="shared" si="93"/>
        <v>0</v>
      </c>
      <c r="L214">
        <v>32</v>
      </c>
    </row>
    <row r="215" spans="1:11">
      <c r="A215" s="39">
        <v>38</v>
      </c>
      <c r="B215" s="39"/>
      <c r="C215" s="39" t="s">
        <v>188</v>
      </c>
      <c r="D215" s="39" t="s">
        <v>189</v>
      </c>
      <c r="E215" s="39"/>
      <c r="F215" s="39"/>
      <c r="G215" s="39"/>
      <c r="H215" s="39"/>
      <c r="I215" s="39"/>
      <c r="J215" s="39"/>
      <c r="K215" s="39"/>
    </row>
    <row r="216" spans="1:11">
      <c r="A216" s="39">
        <v>39</v>
      </c>
      <c r="B216" s="39" t="s">
        <v>161</v>
      </c>
      <c r="C216" s="39" t="s">
        <v>162</v>
      </c>
      <c r="D216" s="39" t="s">
        <v>163</v>
      </c>
      <c r="E216" s="40">
        <v>0</v>
      </c>
      <c r="F216" s="42">
        <f>4156.44/38*E216*0.95</f>
        <v>0</v>
      </c>
      <c r="G216" s="39" t="s">
        <v>0</v>
      </c>
      <c r="H216" s="42">
        <f>11043.56/38*E216*0.95</f>
        <v>0</v>
      </c>
      <c r="I216" s="39">
        <f t="shared" ref="I216" si="96">ROUND(F216*0.02,2)</f>
        <v>0</v>
      </c>
      <c r="J216" s="39">
        <f t="shared" ref="J216" si="97">ROUND(F216*0.05,2)</f>
        <v>0</v>
      </c>
      <c r="K216" s="39">
        <f t="shared" si="93"/>
        <v>0</v>
      </c>
    </row>
    <row r="217" spans="1:11">
      <c r="A217" s="39">
        <v>40</v>
      </c>
      <c r="B217" s="39"/>
      <c r="C217" s="39" t="s">
        <v>190</v>
      </c>
      <c r="D217" s="39" t="s">
        <v>191</v>
      </c>
      <c r="E217" s="39"/>
      <c r="F217" s="39"/>
      <c r="G217" s="39"/>
      <c r="H217" s="42">
        <f>918.59/38*E216*0.95</f>
        <v>0</v>
      </c>
      <c r="I217" s="39"/>
      <c r="J217" s="39"/>
      <c r="K217" s="39">
        <f t="shared" si="93"/>
        <v>0</v>
      </c>
    </row>
    <row r="218" spans="1:11">
      <c r="A218" s="39">
        <v>41</v>
      </c>
      <c r="B218" s="39"/>
      <c r="C218" s="39" t="s">
        <v>192</v>
      </c>
      <c r="D218" s="39" t="s">
        <v>191</v>
      </c>
      <c r="E218" s="39"/>
      <c r="F218" s="39"/>
      <c r="G218" s="39"/>
      <c r="H218" s="42">
        <f>326.29/38*E216*0.95</f>
        <v>0</v>
      </c>
      <c r="I218" s="39"/>
      <c r="J218" s="39"/>
      <c r="K218" s="39">
        <f t="shared" si="93"/>
        <v>0</v>
      </c>
    </row>
    <row r="219" spans="1:11">
      <c r="A219" s="39">
        <v>42</v>
      </c>
      <c r="B219" s="39"/>
      <c r="C219" s="39" t="s">
        <v>193</v>
      </c>
      <c r="D219" s="39" t="s">
        <v>191</v>
      </c>
      <c r="E219" s="39"/>
      <c r="F219" s="39"/>
      <c r="G219" s="39"/>
      <c r="H219" s="42">
        <f>688.59/38*E216*0.95</f>
        <v>0</v>
      </c>
      <c r="I219" s="39"/>
      <c r="J219" s="39"/>
      <c r="K219" s="39">
        <f t="shared" si="93"/>
        <v>0</v>
      </c>
    </row>
    <row r="220" spans="1:11">
      <c r="A220" s="39">
        <v>43</v>
      </c>
      <c r="B220" s="39"/>
      <c r="C220" s="39" t="s">
        <v>194</v>
      </c>
      <c r="D220" s="39" t="s">
        <v>170</v>
      </c>
      <c r="E220" s="39"/>
      <c r="F220" s="42">
        <f>4156.44/38*E216*0.95</f>
        <v>0</v>
      </c>
      <c r="G220" s="39"/>
      <c r="H220" s="42"/>
      <c r="I220" s="39">
        <f>ROUND(F220*0.02,2)</f>
        <v>0</v>
      </c>
      <c r="J220" s="39">
        <f>ROUND(F220*0.05,2)</f>
        <v>0</v>
      </c>
      <c r="K220" s="39">
        <f t="shared" si="93"/>
        <v>0</v>
      </c>
    </row>
    <row r="221" spans="1:11">
      <c r="A221" s="39">
        <v>44</v>
      </c>
      <c r="B221" s="39"/>
      <c r="C221" s="39" t="s">
        <v>195</v>
      </c>
      <c r="D221" s="39" t="s">
        <v>196</v>
      </c>
      <c r="E221" s="39"/>
      <c r="F221" s="39"/>
      <c r="G221" s="39"/>
      <c r="H221" s="42">
        <f>9110.09/38*E216*0.95</f>
        <v>0</v>
      </c>
      <c r="I221" s="39"/>
      <c r="J221" s="39"/>
      <c r="K221" s="39">
        <f t="shared" si="93"/>
        <v>0</v>
      </c>
    </row>
    <row r="222" spans="1:13">
      <c r="A222" s="39" t="s">
        <v>9</v>
      </c>
      <c r="B222" s="39" t="s">
        <v>9</v>
      </c>
      <c r="C222" s="39" t="s">
        <v>164</v>
      </c>
      <c r="D222" s="39"/>
      <c r="E222" s="39"/>
      <c r="F222" s="39">
        <f t="shared" ref="F222:J222" si="98">SUM(F176,F187,F194,F198,F203,F207,F210,F213,F216,)</f>
        <v>0</v>
      </c>
      <c r="G222" s="39">
        <f t="shared" si="98"/>
        <v>0</v>
      </c>
      <c r="H222" s="39">
        <f t="shared" si="98"/>
        <v>0</v>
      </c>
      <c r="I222" s="39">
        <f t="shared" si="98"/>
        <v>0</v>
      </c>
      <c r="J222" s="39">
        <f t="shared" si="98"/>
        <v>0</v>
      </c>
      <c r="K222" s="39">
        <f t="shared" si="93"/>
        <v>0</v>
      </c>
      <c r="M222" t="e">
        <f>ROUND(K222/E213,2)</f>
        <v>#DIV/0!</v>
      </c>
    </row>
    <row r="223" ht="124.8" customHeight="1"/>
    <row r="224" spans="7:11">
      <c r="G224" s="20" t="s">
        <v>29</v>
      </c>
      <c r="H224" s="20" t="s">
        <v>0</v>
      </c>
      <c r="I224" s="20" t="s">
        <v>0</v>
      </c>
      <c r="J224" s="20" t="s">
        <v>0</v>
      </c>
      <c r="K224" s="20" t="s">
        <v>0</v>
      </c>
    </row>
    <row r="225" ht="19.2" customHeight="1"/>
    <row r="229" ht="22.2" customHeight="1"/>
    <row r="250" ht="136.2" customHeight="1"/>
    <row r="252" ht="28.2" customHeight="1"/>
    <row r="276" spans="13:13">
      <c r="M276" t="e">
        <f>ROUND(K276/E272,2)</f>
        <v>#DIV/0!</v>
      </c>
    </row>
    <row r="277" ht="123.6" customHeight="1"/>
    <row r="279" s="35" customFormat="1" ht="26.4" hidden="1" customHeight="1" spans="1:11">
      <c r="A279" s="47" t="s">
        <v>0</v>
      </c>
      <c r="B279" s="47" t="s">
        <v>0</v>
      </c>
      <c r="C279" s="48" t="s">
        <v>307</v>
      </c>
      <c r="D279" s="48" t="s">
        <v>0</v>
      </c>
      <c r="E279" s="48" t="s">
        <v>0</v>
      </c>
      <c r="F279" s="48" t="s">
        <v>0</v>
      </c>
      <c r="G279" s="48" t="s">
        <v>0</v>
      </c>
      <c r="H279" s="48" t="s">
        <v>0</v>
      </c>
      <c r="I279" s="48" t="s">
        <v>0</v>
      </c>
      <c r="J279" s="56" t="s">
        <v>427</v>
      </c>
      <c r="K279" s="56" t="s">
        <v>0</v>
      </c>
    </row>
    <row r="280" s="35" customFormat="1" hidden="1" spans="1:11">
      <c r="A280" s="49" t="s">
        <v>130</v>
      </c>
      <c r="B280" s="49" t="s">
        <v>0</v>
      </c>
      <c r="C280" s="49" t="s">
        <v>0</v>
      </c>
      <c r="D280" s="49" t="s">
        <v>0</v>
      </c>
      <c r="E280" s="49" t="s">
        <v>0</v>
      </c>
      <c r="F280" s="49" t="s">
        <v>0</v>
      </c>
      <c r="G280" s="49" t="s">
        <v>0</v>
      </c>
      <c r="H280" s="49" t="s">
        <v>0</v>
      </c>
      <c r="I280" s="49" t="s">
        <v>0</v>
      </c>
      <c r="J280" s="49" t="s">
        <v>0</v>
      </c>
      <c r="K280" s="49" t="s">
        <v>0</v>
      </c>
    </row>
    <row r="281" s="35" customFormat="1" hidden="1" customHeight="1" spans="1:11">
      <c r="A281" s="50" t="s">
        <v>24</v>
      </c>
      <c r="B281" s="50" t="s">
        <v>0</v>
      </c>
      <c r="C281" s="51" t="s">
        <v>397</v>
      </c>
      <c r="D281" s="51" t="s">
        <v>0</v>
      </c>
      <c r="E281" s="51" t="s">
        <v>0</v>
      </c>
      <c r="F281" s="51" t="s">
        <v>0</v>
      </c>
      <c r="G281" s="51" t="s">
        <v>0</v>
      </c>
      <c r="H281" s="51" t="s">
        <v>0</v>
      </c>
      <c r="I281" s="51" t="s">
        <v>0</v>
      </c>
      <c r="J281" s="51" t="s">
        <v>132</v>
      </c>
      <c r="K281" s="51" t="s">
        <v>0</v>
      </c>
    </row>
    <row r="282" s="35" customFormat="1" hidden="1" customHeight="1" spans="1:11">
      <c r="A282" s="50" t="s">
        <v>133</v>
      </c>
      <c r="B282" s="50" t="s">
        <v>0</v>
      </c>
      <c r="C282" s="51" t="s">
        <v>398</v>
      </c>
      <c r="D282" s="51" t="s">
        <v>0</v>
      </c>
      <c r="E282" s="51" t="s">
        <v>0</v>
      </c>
      <c r="F282" s="51" t="s">
        <v>0</v>
      </c>
      <c r="G282" s="51" t="s">
        <v>0</v>
      </c>
      <c r="H282" s="51" t="s">
        <v>0</v>
      </c>
      <c r="I282" s="51" t="s">
        <v>0</v>
      </c>
      <c r="J282" s="51" t="str">
        <f>"工程数量："&amp;'[1]附表C-6营造林工程投资概算'!$D$17</f>
        <v>工程数量：0</v>
      </c>
      <c r="K282" s="51" t="s">
        <v>0</v>
      </c>
    </row>
    <row r="283" s="35" customFormat="1" hidden="1" customHeight="1" spans="1:11">
      <c r="A283" s="50" t="s">
        <v>136</v>
      </c>
      <c r="B283" s="50" t="s">
        <v>0</v>
      </c>
      <c r="C283" s="51" t="s">
        <v>399</v>
      </c>
      <c r="D283" s="51" t="s">
        <v>0</v>
      </c>
      <c r="E283" s="51" t="s">
        <v>0</v>
      </c>
      <c r="F283" s="51" t="s">
        <v>0</v>
      </c>
      <c r="G283" s="51" t="s">
        <v>0</v>
      </c>
      <c r="H283" s="51" t="s">
        <v>0</v>
      </c>
      <c r="I283" s="51" t="s">
        <v>0</v>
      </c>
      <c r="J283" s="51" t="str">
        <f>"综合单价："&amp;'[1]附表C-2营造林技术经济指标表'!$N$5&amp;"元 "</f>
        <v>综合单价：34539.91元 </v>
      </c>
      <c r="K283" s="51" t="s">
        <v>0</v>
      </c>
    </row>
    <row r="284" s="35" customFormat="1" hidden="1" spans="1:11">
      <c r="A284" s="52" t="s">
        <v>32</v>
      </c>
      <c r="B284" s="52" t="s">
        <v>138</v>
      </c>
      <c r="C284" s="52" t="s">
        <v>139</v>
      </c>
      <c r="D284" s="52" t="s">
        <v>110</v>
      </c>
      <c r="E284" s="52" t="s">
        <v>140</v>
      </c>
      <c r="F284" s="52" t="s">
        <v>141</v>
      </c>
      <c r="G284" s="52" t="s">
        <v>0</v>
      </c>
      <c r="H284" s="52" t="s">
        <v>0</v>
      </c>
      <c r="I284" s="52" t="s">
        <v>0</v>
      </c>
      <c r="J284" s="52" t="s">
        <v>0</v>
      </c>
      <c r="K284" s="52" t="s">
        <v>0</v>
      </c>
    </row>
    <row r="285" s="35" customFormat="1" hidden="1" spans="1:11">
      <c r="A285" s="52" t="s">
        <v>0</v>
      </c>
      <c r="B285" s="52" t="s">
        <v>0</v>
      </c>
      <c r="C285" s="52" t="s">
        <v>0</v>
      </c>
      <c r="D285" s="52" t="s">
        <v>0</v>
      </c>
      <c r="E285" s="52" t="s">
        <v>0</v>
      </c>
      <c r="F285" s="53" t="s">
        <v>115</v>
      </c>
      <c r="G285" s="52" t="s">
        <v>116</v>
      </c>
      <c r="H285" s="52" t="s">
        <v>117</v>
      </c>
      <c r="I285" s="52" t="s">
        <v>118</v>
      </c>
      <c r="J285" s="52" t="s">
        <v>119</v>
      </c>
      <c r="K285" s="52" t="s">
        <v>142</v>
      </c>
    </row>
    <row r="286" s="35" customFormat="1" hidden="1" spans="1:11">
      <c r="A286" s="52" t="s">
        <v>53</v>
      </c>
      <c r="B286" s="52" t="s">
        <v>400</v>
      </c>
      <c r="C286" s="52" t="s">
        <v>401</v>
      </c>
      <c r="D286" s="52" t="s">
        <v>121</v>
      </c>
      <c r="E286" s="52">
        <f>'[1]附表C-6营造林工程投资概算'!$D$17</f>
        <v>0</v>
      </c>
      <c r="F286" s="53">
        <f>SUM(F287:F293)</f>
        <v>0</v>
      </c>
      <c r="G286" s="52" t="s">
        <v>0</v>
      </c>
      <c r="H286" s="52" t="s">
        <v>0</v>
      </c>
      <c r="I286" s="52" t="s">
        <v>9</v>
      </c>
      <c r="J286" s="52" t="s">
        <v>9</v>
      </c>
      <c r="K286" s="52">
        <f>SUM(F286:J286)</f>
        <v>0</v>
      </c>
    </row>
    <row r="287" s="35" customFormat="1" hidden="1" spans="1:11">
      <c r="A287" s="52" t="s">
        <v>60</v>
      </c>
      <c r="B287" s="52"/>
      <c r="C287" s="54" t="s">
        <v>428</v>
      </c>
      <c r="D287" s="52" t="s">
        <v>170</v>
      </c>
      <c r="E287" s="52">
        <f>ROUND(E286*'[1]附表C-2营造林技术经济指标表'!$N$8,2)</f>
        <v>0</v>
      </c>
      <c r="F287" s="52">
        <f>ROUND(E286*'[1]附表C-2营造林技术经济指标表'!$N$8*'[1]附表C-2营造林技术经济指标表'!$N$7,2)</f>
        <v>0</v>
      </c>
      <c r="G287" s="52"/>
      <c r="H287" s="52"/>
      <c r="I287" s="52"/>
      <c r="J287" s="52"/>
      <c r="K287" s="52"/>
    </row>
    <row r="288" s="35" customFormat="1" hidden="1" spans="1:11">
      <c r="A288" s="52" t="s">
        <v>64</v>
      </c>
      <c r="B288" s="52"/>
      <c r="C288" s="54" t="s">
        <v>429</v>
      </c>
      <c r="D288" s="52" t="s">
        <v>170</v>
      </c>
      <c r="E288" s="52">
        <f>ROUND(E286*'[1]附表C-2营造林技术经济指标表'!$N$9,2)</f>
        <v>0</v>
      </c>
      <c r="F288" s="52">
        <f>ROUND(E286*'[1]附表C-2营造林技术经济指标表'!$N$9*'[1]附表C-2营造林技术经济指标表'!$N$7,2)</f>
        <v>0</v>
      </c>
      <c r="G288" s="52"/>
      <c r="H288" s="52"/>
      <c r="I288" s="52"/>
      <c r="J288" s="52"/>
      <c r="K288" s="52"/>
    </row>
    <row r="289" s="35" customFormat="1" hidden="1" spans="1:11">
      <c r="A289" s="52" t="s">
        <v>74</v>
      </c>
      <c r="B289" s="52" t="s">
        <v>9</v>
      </c>
      <c r="C289" s="54" t="s">
        <v>430</v>
      </c>
      <c r="D289" s="52" t="s">
        <v>170</v>
      </c>
      <c r="E289" s="52">
        <f>ROUND(E286*'[1]附表C-2营造林技术经济指标表'!$N$10,2)</f>
        <v>0</v>
      </c>
      <c r="F289" s="52">
        <f>ROUND(E286*'[1]附表C-2营造林技术经济指标表'!$N$10*'[1]附表C-2营造林技术经济指标表'!$N$7,2)</f>
        <v>0</v>
      </c>
      <c r="G289" s="52" t="s">
        <v>9</v>
      </c>
      <c r="H289" s="52" t="s">
        <v>9</v>
      </c>
      <c r="I289" s="52" t="s">
        <v>9</v>
      </c>
      <c r="J289" s="52" t="s">
        <v>9</v>
      </c>
      <c r="K289" s="52" t="s">
        <v>9</v>
      </c>
    </row>
    <row r="290" s="35" customFormat="1" hidden="1" spans="1:11">
      <c r="A290" s="52" t="s">
        <v>75</v>
      </c>
      <c r="B290" s="52" t="s">
        <v>9</v>
      </c>
      <c r="C290" s="54" t="s">
        <v>431</v>
      </c>
      <c r="D290" s="52" t="s">
        <v>170</v>
      </c>
      <c r="E290" s="52">
        <f>ROUND(E286*'[1]附表C-2营造林技术经济指标表'!$N$11,2)</f>
        <v>0</v>
      </c>
      <c r="F290" s="52">
        <f>ROUND(E286*'[1]附表C-2营造林技术经济指标表'!$N$11*'[1]附表C-2营造林技术经济指标表'!$N$6,2)</f>
        <v>0</v>
      </c>
      <c r="G290" s="52" t="s">
        <v>9</v>
      </c>
      <c r="H290" s="52" t="s">
        <v>9</v>
      </c>
      <c r="I290" s="52" t="s">
        <v>9</v>
      </c>
      <c r="J290" s="52" t="s">
        <v>9</v>
      </c>
      <c r="K290" s="52" t="s">
        <v>9</v>
      </c>
    </row>
    <row r="291" s="35" customFormat="1" hidden="1" spans="1:11">
      <c r="A291" s="52" t="s">
        <v>77</v>
      </c>
      <c r="B291" s="52" t="s">
        <v>9</v>
      </c>
      <c r="C291" s="54" t="s">
        <v>432</v>
      </c>
      <c r="D291" s="52" t="s">
        <v>170</v>
      </c>
      <c r="E291" s="52">
        <f>ROUND(E286*'[1]附表C-2营造林技术经济指标表'!$N$12,2)</f>
        <v>0</v>
      </c>
      <c r="F291" s="52">
        <f>ROUND(E286*'[1]附表C-2营造林技术经济指标表'!$N$12*'[1]附表C-2营造林技术经济指标表'!$N$6,2)</f>
        <v>0</v>
      </c>
      <c r="G291" s="52" t="s">
        <v>9</v>
      </c>
      <c r="H291" s="52" t="s">
        <v>9</v>
      </c>
      <c r="I291" s="52" t="s">
        <v>9</v>
      </c>
      <c r="J291" s="52" t="s">
        <v>9</v>
      </c>
      <c r="K291" s="52" t="s">
        <v>9</v>
      </c>
    </row>
    <row r="292" s="35" customFormat="1" hidden="1" spans="1:11">
      <c r="A292" s="52" t="s">
        <v>81</v>
      </c>
      <c r="B292" s="52" t="s">
        <v>9</v>
      </c>
      <c r="C292" s="54" t="s">
        <v>433</v>
      </c>
      <c r="D292" s="52" t="s">
        <v>170</v>
      </c>
      <c r="E292" s="52">
        <f>ROUND(E286*'[1]附表C-2营造林技术经济指标表'!$N$13,2)</f>
        <v>0</v>
      </c>
      <c r="F292" s="52">
        <f>ROUND(E286*'[1]附表C-2营造林技术经济指标表'!$N$13*'[1]附表C-2营造林技术经济指标表'!$N$6,2)</f>
        <v>0</v>
      </c>
      <c r="G292" s="52" t="s">
        <v>9</v>
      </c>
      <c r="H292" s="52" t="s">
        <v>9</v>
      </c>
      <c r="I292" s="52" t="s">
        <v>9</v>
      </c>
      <c r="J292" s="52" t="s">
        <v>9</v>
      </c>
      <c r="K292" s="52" t="s">
        <v>9</v>
      </c>
    </row>
    <row r="293" s="35" customFormat="1" hidden="1" spans="1:11">
      <c r="A293" s="52" t="s">
        <v>157</v>
      </c>
      <c r="B293" s="52" t="s">
        <v>9</v>
      </c>
      <c r="C293" s="54" t="s">
        <v>434</v>
      </c>
      <c r="D293" s="52" t="s">
        <v>170</v>
      </c>
      <c r="E293" s="52">
        <f>ROUND(E286*'[1]附表C-2营造林技术经济指标表'!$N$14,2)</f>
        <v>0</v>
      </c>
      <c r="F293" s="52">
        <f>ROUND(E286*'[1]附表C-2营造林技术经济指标表'!$N$14*'[1]附表C-2营造林技术经济指标表'!$N$6,2)</f>
        <v>0</v>
      </c>
      <c r="G293" s="52" t="s">
        <v>9</v>
      </c>
      <c r="H293" s="52" t="s">
        <v>9</v>
      </c>
      <c r="I293" s="52" t="s">
        <v>9</v>
      </c>
      <c r="J293" s="52" t="s">
        <v>9</v>
      </c>
      <c r="K293" s="52" t="s">
        <v>9</v>
      </c>
    </row>
    <row r="294" s="35" customFormat="1" hidden="1" spans="1:11">
      <c r="A294" s="52" t="s">
        <v>160</v>
      </c>
      <c r="B294" s="52" t="s">
        <v>402</v>
      </c>
      <c r="C294" s="54" t="s">
        <v>152</v>
      </c>
      <c r="D294" s="52" t="s">
        <v>121</v>
      </c>
      <c r="E294" s="52">
        <f>E286</f>
        <v>0</v>
      </c>
      <c r="F294" s="53">
        <f>SUM(F295:F301)</f>
        <v>0</v>
      </c>
      <c r="G294" s="53">
        <f>SUM(G295:G301)</f>
        <v>0</v>
      </c>
      <c r="H294" s="52" t="s">
        <v>0</v>
      </c>
      <c r="I294" s="52" t="s">
        <v>9</v>
      </c>
      <c r="J294" s="52" t="s">
        <v>9</v>
      </c>
      <c r="K294" s="52">
        <f>SUM(F294:J294)</f>
        <v>0</v>
      </c>
    </row>
    <row r="295" s="35" customFormat="1" hidden="1" spans="1:11">
      <c r="A295" s="52" t="s">
        <v>278</v>
      </c>
      <c r="B295" s="52" t="s">
        <v>9</v>
      </c>
      <c r="C295" s="54" t="s">
        <v>435</v>
      </c>
      <c r="D295" s="52" t="s">
        <v>170</v>
      </c>
      <c r="E295" s="52">
        <f>ROUND(E294*'[1]附表C-2营造林技术经济指标表'!$N$115,2)</f>
        <v>0</v>
      </c>
      <c r="F295" s="53">
        <f>ROUND(E294*'[1]附表C-2营造林技术经济指标表'!$N$116,2)</f>
        <v>0</v>
      </c>
      <c r="G295" s="52" t="s">
        <v>9</v>
      </c>
      <c r="H295" s="52" t="s">
        <v>9</v>
      </c>
      <c r="I295" s="52" t="s">
        <v>9</v>
      </c>
      <c r="J295" s="52" t="s">
        <v>9</v>
      </c>
      <c r="K295" s="52" t="s">
        <v>9</v>
      </c>
    </row>
    <row r="296" s="35" customFormat="1" hidden="1" spans="1:11">
      <c r="A296" s="52" t="s">
        <v>280</v>
      </c>
      <c r="B296" s="52" t="s">
        <v>9</v>
      </c>
      <c r="C296" s="54" t="s">
        <v>436</v>
      </c>
      <c r="D296" s="52" t="s">
        <v>170</v>
      </c>
      <c r="E296" s="52">
        <f>ROUND(E294*'[1]附表C-2营造林技术经济指标表'!$N$117,2)</f>
        <v>0</v>
      </c>
      <c r="F296" s="53">
        <f>ROUND(E294*'[1]附表C-2营造林技术经济指标表'!$N$118,2)</f>
        <v>0</v>
      </c>
      <c r="G296" s="52" t="s">
        <v>9</v>
      </c>
      <c r="H296" s="52" t="s">
        <v>9</v>
      </c>
      <c r="I296" s="52" t="s">
        <v>9</v>
      </c>
      <c r="J296" s="52" t="s">
        <v>9</v>
      </c>
      <c r="K296" s="52" t="s">
        <v>9</v>
      </c>
    </row>
    <row r="297" s="35" customFormat="1" hidden="1" spans="1:11">
      <c r="A297" s="52" t="s">
        <v>282</v>
      </c>
      <c r="B297" s="52" t="s">
        <v>9</v>
      </c>
      <c r="C297" s="54" t="s">
        <v>437</v>
      </c>
      <c r="D297" s="52" t="s">
        <v>170</v>
      </c>
      <c r="E297" s="52">
        <f>ROUND(E294*('[1]附表C-2营造林技术经济指标表'!$N$123+'[1]附表C-2营造林技术经济指标表'!$N$125),2)</f>
        <v>0</v>
      </c>
      <c r="F297" s="53">
        <f>ROUND(E294*('[1]附表C-2营造林技术经济指标表'!$N$124+'[1]附表C-2营造林技术经济指标表'!$N$126),2)</f>
        <v>0</v>
      </c>
      <c r="G297" s="52" t="s">
        <v>9</v>
      </c>
      <c r="H297" s="52" t="s">
        <v>9</v>
      </c>
      <c r="I297" s="52" t="s">
        <v>9</v>
      </c>
      <c r="J297" s="52" t="s">
        <v>9</v>
      </c>
      <c r="K297" s="52" t="s">
        <v>9</v>
      </c>
    </row>
    <row r="298" s="35" customFormat="1" hidden="1" spans="1:11">
      <c r="A298" s="52" t="s">
        <v>284</v>
      </c>
      <c r="B298" s="52" t="s">
        <v>9</v>
      </c>
      <c r="C298" s="54" t="s">
        <v>438</v>
      </c>
      <c r="D298" s="52" t="s">
        <v>177</v>
      </c>
      <c r="E298" s="52">
        <f>ROUND(E294*'[1]附表C-2营造林技术经济指标表'!$N$16,2)</f>
        <v>0</v>
      </c>
      <c r="F298" s="53" t="s">
        <v>9</v>
      </c>
      <c r="G298" s="52" t="s">
        <v>9</v>
      </c>
      <c r="H298" s="52" t="s">
        <v>9</v>
      </c>
      <c r="I298" s="52" t="s">
        <v>9</v>
      </c>
      <c r="J298" s="52" t="s">
        <v>9</v>
      </c>
      <c r="K298" s="52" t="s">
        <v>9</v>
      </c>
    </row>
    <row r="299" s="35" customFormat="1" hidden="1" spans="1:11">
      <c r="A299" s="52" t="s">
        <v>286</v>
      </c>
      <c r="B299" s="52" t="s">
        <v>9</v>
      </c>
      <c r="C299" s="54" t="s">
        <v>439</v>
      </c>
      <c r="D299" s="52" t="s">
        <v>177</v>
      </c>
      <c r="E299" s="52">
        <f>ROUND(E294*'[1]附表C-2营造林技术经济指标表'!$N$17,2)</f>
        <v>0</v>
      </c>
      <c r="F299" s="53" t="s">
        <v>9</v>
      </c>
      <c r="G299" s="52" t="s">
        <v>9</v>
      </c>
      <c r="H299" s="52" t="s">
        <v>9</v>
      </c>
      <c r="I299" s="52" t="s">
        <v>9</v>
      </c>
      <c r="J299" s="52" t="s">
        <v>9</v>
      </c>
      <c r="K299" s="52" t="s">
        <v>9</v>
      </c>
    </row>
    <row r="300" s="35" customFormat="1" hidden="1" spans="1:11">
      <c r="A300" s="52" t="s">
        <v>288</v>
      </c>
      <c r="B300" s="52" t="s">
        <v>9</v>
      </c>
      <c r="C300" s="54" t="s">
        <v>440</v>
      </c>
      <c r="D300" s="52" t="s">
        <v>177</v>
      </c>
      <c r="E300" s="52">
        <f>E298+E299</f>
        <v>0</v>
      </c>
      <c r="F300" s="53" t="s">
        <v>9</v>
      </c>
      <c r="G300" s="52">
        <f>ROUND(E294*'[1]附表C-2营造林技术经济指标表'!$N$20,2)</f>
        <v>0</v>
      </c>
      <c r="H300" s="52" t="s">
        <v>9</v>
      </c>
      <c r="I300" s="52" t="s">
        <v>9</v>
      </c>
      <c r="J300" s="52" t="s">
        <v>9</v>
      </c>
      <c r="K300" s="52" t="s">
        <v>9</v>
      </c>
    </row>
    <row r="301" s="35" customFormat="1" hidden="1" spans="1:11">
      <c r="A301" s="52" t="s">
        <v>291</v>
      </c>
      <c r="B301" s="52" t="s">
        <v>9</v>
      </c>
      <c r="C301" s="54" t="s">
        <v>441</v>
      </c>
      <c r="D301" s="52" t="s">
        <v>170</v>
      </c>
      <c r="E301" s="52">
        <f>ROUND(E294*'[1]附表C-2营造林技术经济指标表'!$N$119,2)</f>
        <v>0</v>
      </c>
      <c r="F301" s="53">
        <f>ROUND(E294*'[1]附表C-2营造林技术经济指标表'!$N$120,2)</f>
        <v>0</v>
      </c>
      <c r="G301" s="52" t="s">
        <v>9</v>
      </c>
      <c r="H301" s="52" t="s">
        <v>9</v>
      </c>
      <c r="I301" s="52" t="s">
        <v>9</v>
      </c>
      <c r="J301" s="52" t="s">
        <v>9</v>
      </c>
      <c r="K301" s="52" t="s">
        <v>9</v>
      </c>
    </row>
    <row r="302" s="35" customFormat="1" hidden="1" spans="1:11">
      <c r="A302" s="52" t="s">
        <v>293</v>
      </c>
      <c r="B302" s="52" t="s">
        <v>403</v>
      </c>
      <c r="C302" s="54" t="s">
        <v>148</v>
      </c>
      <c r="D302" s="52" t="s">
        <v>121</v>
      </c>
      <c r="E302" s="52">
        <f>E286</f>
        <v>0</v>
      </c>
      <c r="F302" s="53">
        <f>F308</f>
        <v>0</v>
      </c>
      <c r="G302" s="52">
        <f>G303</f>
        <v>0</v>
      </c>
      <c r="H302" s="52" t="s">
        <v>0</v>
      </c>
      <c r="I302" s="52" t="s">
        <v>9</v>
      </c>
      <c r="J302" s="52" t="s">
        <v>9</v>
      </c>
      <c r="K302" s="52">
        <f>SUM(F302:J302)</f>
        <v>0</v>
      </c>
    </row>
    <row r="303" s="35" customFormat="1" hidden="1" spans="1:11">
      <c r="A303" s="52" t="s">
        <v>296</v>
      </c>
      <c r="B303" s="52" t="s">
        <v>9</v>
      </c>
      <c r="C303" s="54" t="s">
        <v>442</v>
      </c>
      <c r="D303" s="52" t="s">
        <v>181</v>
      </c>
      <c r="E303" s="52">
        <f>ROUND(E302*'[1]附表C-2营造林技术经济指标表'!$N$82*1000,2)</f>
        <v>0</v>
      </c>
      <c r="F303" s="53" t="s">
        <v>9</v>
      </c>
      <c r="G303" s="52">
        <f>ROUND(E302*'[1]附表C-2营造林技术经济指标表'!$N$84,2)</f>
        <v>0</v>
      </c>
      <c r="H303" s="52" t="s">
        <v>9</v>
      </c>
      <c r="I303" s="52" t="s">
        <v>9</v>
      </c>
      <c r="J303" s="52" t="s">
        <v>9</v>
      </c>
      <c r="K303" s="52" t="s">
        <v>9</v>
      </c>
    </row>
    <row r="304" s="35" customFormat="1" ht="121.2" hidden="1" customHeight="1" spans="1:11">
      <c r="A304" s="55"/>
      <c r="B304" s="55"/>
      <c r="C304" s="55"/>
      <c r="D304" s="55"/>
      <c r="E304" s="55"/>
      <c r="F304" s="55"/>
      <c r="G304" s="55"/>
      <c r="H304" s="55"/>
      <c r="I304" s="55"/>
      <c r="J304" s="55"/>
      <c r="K304" s="55"/>
    </row>
    <row r="305" s="35" customFormat="1" hidden="1" customHeight="1" spans="1:11">
      <c r="A305" s="51" t="s">
        <v>0</v>
      </c>
      <c r="B305" s="51" t="s">
        <v>0</v>
      </c>
      <c r="C305" s="51" t="s">
        <v>0</v>
      </c>
      <c r="D305" s="51" t="s">
        <v>0</v>
      </c>
      <c r="E305" s="51" t="s">
        <v>0</v>
      </c>
      <c r="F305" s="51" t="s">
        <v>0</v>
      </c>
      <c r="G305" s="50" t="s">
        <v>29</v>
      </c>
      <c r="H305" s="50" t="s">
        <v>0</v>
      </c>
      <c r="I305" s="50" t="s">
        <v>0</v>
      </c>
      <c r="J305" s="50" t="s">
        <v>0</v>
      </c>
      <c r="K305" s="50" t="s">
        <v>0</v>
      </c>
    </row>
    <row r="306" s="35" customFormat="1" ht="28.8" hidden="1" customHeight="1" spans="1:11">
      <c r="A306" s="47" t="s">
        <v>0</v>
      </c>
      <c r="B306" s="47" t="s">
        <v>0</v>
      </c>
      <c r="C306" s="48" t="s">
        <v>307</v>
      </c>
      <c r="D306" s="48" t="s">
        <v>0</v>
      </c>
      <c r="E306" s="48" t="s">
        <v>0</v>
      </c>
      <c r="F306" s="48" t="s">
        <v>0</v>
      </c>
      <c r="G306" s="48" t="s">
        <v>0</v>
      </c>
      <c r="H306" s="48" t="s">
        <v>0</v>
      </c>
      <c r="I306" s="48" t="s">
        <v>0</v>
      </c>
      <c r="J306" s="56" t="s">
        <v>443</v>
      </c>
      <c r="K306" s="56" t="s">
        <v>0</v>
      </c>
    </row>
    <row r="307" s="35" customFormat="1" hidden="1" spans="1:11">
      <c r="A307" s="52" t="s">
        <v>298</v>
      </c>
      <c r="B307" s="52" t="s">
        <v>9</v>
      </c>
      <c r="C307" s="52" t="s">
        <v>444</v>
      </c>
      <c r="D307" s="52" t="s">
        <v>181</v>
      </c>
      <c r="E307" s="52">
        <f>ROUND(E302*'[1]附表C-2营造林技术经济指标表'!$N$82*1000,2)</f>
        <v>0</v>
      </c>
      <c r="F307" s="53" t="s">
        <v>9</v>
      </c>
      <c r="G307" s="52" t="s">
        <v>9</v>
      </c>
      <c r="H307" s="52" t="s">
        <v>9</v>
      </c>
      <c r="I307" s="52" t="s">
        <v>9</v>
      </c>
      <c r="J307" s="52" t="s">
        <v>9</v>
      </c>
      <c r="K307" s="52" t="s">
        <v>9</v>
      </c>
    </row>
    <row r="308" s="35" customFormat="1" hidden="1" spans="1:11">
      <c r="A308" s="52" t="s">
        <v>300</v>
      </c>
      <c r="B308" s="52" t="s">
        <v>9</v>
      </c>
      <c r="C308" s="52" t="s">
        <v>445</v>
      </c>
      <c r="D308" s="52" t="s">
        <v>170</v>
      </c>
      <c r="E308" s="52">
        <f>ROUND(E302*'[1]附表C-2营造林技术经济指标表'!$N$121,2)</f>
        <v>0</v>
      </c>
      <c r="F308" s="53">
        <f>ROUND(E302*'[1]附表C-2营造林技术经济指标表'!$N$122,2)</f>
        <v>0</v>
      </c>
      <c r="G308" s="52" t="s">
        <v>9</v>
      </c>
      <c r="H308" s="52" t="s">
        <v>9</v>
      </c>
      <c r="I308" s="52" t="s">
        <v>9</v>
      </c>
      <c r="J308" s="52" t="s">
        <v>9</v>
      </c>
      <c r="K308" s="52" t="s">
        <v>9</v>
      </c>
    </row>
    <row r="309" s="35" customFormat="1" hidden="1" spans="1:11">
      <c r="A309" s="52" t="s">
        <v>302</v>
      </c>
      <c r="B309" s="52" t="s">
        <v>404</v>
      </c>
      <c r="C309" s="52" t="s">
        <v>405</v>
      </c>
      <c r="D309" s="52" t="s">
        <v>121</v>
      </c>
      <c r="E309" s="52">
        <f>E286</f>
        <v>0</v>
      </c>
      <c r="F309" s="53">
        <f>F313</f>
        <v>0</v>
      </c>
      <c r="G309" s="52">
        <f>G310</f>
        <v>0</v>
      </c>
      <c r="H309" s="52" t="s">
        <v>0</v>
      </c>
      <c r="I309" s="52" t="s">
        <v>9</v>
      </c>
      <c r="J309" s="52" t="s">
        <v>9</v>
      </c>
      <c r="K309" s="52">
        <f>SUM(F309:J309)</f>
        <v>0</v>
      </c>
    </row>
    <row r="310" s="35" customFormat="1" hidden="1" spans="1:11">
      <c r="A310" s="52" t="s">
        <v>304</v>
      </c>
      <c r="B310" s="52" t="s">
        <v>9</v>
      </c>
      <c r="C310" s="52" t="s">
        <v>442</v>
      </c>
      <c r="D310" s="52" t="s">
        <v>181</v>
      </c>
      <c r="E310" s="52">
        <f>ROUND(E309*'[1]附表C-2营造林技术经济指标表'!$N$91,2)</f>
        <v>0</v>
      </c>
      <c r="F310" s="53" t="s">
        <v>9</v>
      </c>
      <c r="G310" s="52">
        <f>ROUND(E309*'[1]附表C-2营造林技术经济指标表'!$N$93,2)</f>
        <v>0</v>
      </c>
      <c r="H310" s="52" t="s">
        <v>9</v>
      </c>
      <c r="I310" s="52" t="s">
        <v>9</v>
      </c>
      <c r="J310" s="52" t="s">
        <v>9</v>
      </c>
      <c r="K310" s="52" t="s">
        <v>9</v>
      </c>
    </row>
    <row r="311" s="35" customFormat="1" hidden="1" spans="1:11">
      <c r="A311" s="52" t="s">
        <v>446</v>
      </c>
      <c r="B311" s="52" t="s">
        <v>9</v>
      </c>
      <c r="C311" s="52" t="s">
        <v>447</v>
      </c>
      <c r="D311" s="52" t="s">
        <v>181</v>
      </c>
      <c r="E311" s="52">
        <f>ROUND(E309*'[1]附表C-2营造林技术经济指标表'!$N$91,2)</f>
        <v>0</v>
      </c>
      <c r="F311" s="53" t="s">
        <v>9</v>
      </c>
      <c r="G311" s="52" t="s">
        <v>9</v>
      </c>
      <c r="H311" s="52" t="s">
        <v>9</v>
      </c>
      <c r="I311" s="52" t="s">
        <v>9</v>
      </c>
      <c r="J311" s="52" t="s">
        <v>9</v>
      </c>
      <c r="K311" s="52" t="s">
        <v>9</v>
      </c>
    </row>
    <row r="312" s="35" customFormat="1" hidden="1" spans="1:11">
      <c r="A312" s="52" t="s">
        <v>448</v>
      </c>
      <c r="B312" s="52" t="s">
        <v>9</v>
      </c>
      <c r="C312" s="52" t="s">
        <v>449</v>
      </c>
      <c r="D312" s="52" t="s">
        <v>450</v>
      </c>
      <c r="E312" s="52">
        <v>3</v>
      </c>
      <c r="F312" s="53" t="s">
        <v>9</v>
      </c>
      <c r="G312" s="52" t="s">
        <v>9</v>
      </c>
      <c r="H312" s="52" t="s">
        <v>9</v>
      </c>
      <c r="I312" s="52" t="s">
        <v>9</v>
      </c>
      <c r="J312" s="52" t="s">
        <v>9</v>
      </c>
      <c r="K312" s="52" t="s">
        <v>9</v>
      </c>
    </row>
    <row r="313" s="35" customFormat="1" hidden="1" spans="1:11">
      <c r="A313" s="52" t="s">
        <v>451</v>
      </c>
      <c r="B313" s="52" t="s">
        <v>9</v>
      </c>
      <c r="C313" s="52" t="s">
        <v>452</v>
      </c>
      <c r="D313" s="52" t="s">
        <v>170</v>
      </c>
      <c r="E313" s="52">
        <f>ROUND(E309*'[1]附表C-2营造林技术经济指标表'!$N$135,2)</f>
        <v>0</v>
      </c>
      <c r="F313" s="53">
        <f>ROUND(E309*'[1]附表C-2营造林技术经济指标表'!$N$136,2)</f>
        <v>0</v>
      </c>
      <c r="G313" s="52" t="s">
        <v>9</v>
      </c>
      <c r="H313" s="52" t="s">
        <v>9</v>
      </c>
      <c r="I313" s="52" t="s">
        <v>9</v>
      </c>
      <c r="J313" s="52" t="s">
        <v>9</v>
      </c>
      <c r="K313" s="52" t="s">
        <v>9</v>
      </c>
    </row>
    <row r="314" s="35" customFormat="1" hidden="1" spans="1:11">
      <c r="A314" s="52" t="s">
        <v>453</v>
      </c>
      <c r="B314" s="52" t="s">
        <v>406</v>
      </c>
      <c r="C314" s="52" t="s">
        <v>156</v>
      </c>
      <c r="D314" s="52" t="s">
        <v>121</v>
      </c>
      <c r="E314" s="52">
        <f>E286</f>
        <v>0</v>
      </c>
      <c r="F314" s="53">
        <f>F318</f>
        <v>0</v>
      </c>
      <c r="G314" s="52">
        <f>G316</f>
        <v>0</v>
      </c>
      <c r="H314" s="52" t="s">
        <v>0</v>
      </c>
      <c r="I314" s="52" t="s">
        <v>9</v>
      </c>
      <c r="J314" s="52" t="s">
        <v>9</v>
      </c>
      <c r="K314" s="52">
        <f>SUM(F314:J314)</f>
        <v>0</v>
      </c>
    </row>
    <row r="315" s="35" customFormat="1" hidden="1" spans="1:11">
      <c r="A315" s="52" t="s">
        <v>454</v>
      </c>
      <c r="B315" s="52" t="s">
        <v>9</v>
      </c>
      <c r="C315" s="52" t="s">
        <v>455</v>
      </c>
      <c r="D315" s="52" t="s">
        <v>181</v>
      </c>
      <c r="E315" s="52">
        <f>ROUND(E314*'[1]附表C-2营造林技术经济指标表'!$N$156,2)</f>
        <v>0</v>
      </c>
      <c r="F315" s="53" t="s">
        <v>9</v>
      </c>
      <c r="G315" s="52" t="s">
        <v>9</v>
      </c>
      <c r="H315" s="52" t="s">
        <v>9</v>
      </c>
      <c r="I315" s="52" t="s">
        <v>9</v>
      </c>
      <c r="J315" s="52" t="s">
        <v>9</v>
      </c>
      <c r="K315" s="52" t="s">
        <v>9</v>
      </c>
    </row>
    <row r="316" s="35" customFormat="1" hidden="1" spans="1:11">
      <c r="A316" s="52" t="s">
        <v>456</v>
      </c>
      <c r="B316" s="52" t="s">
        <v>9</v>
      </c>
      <c r="C316" s="52" t="s">
        <v>457</v>
      </c>
      <c r="D316" s="52" t="s">
        <v>181</v>
      </c>
      <c r="E316" s="52">
        <f>ROUND(E314*'[1]附表C-2营造林技术经济指标表'!$N$156,2)</f>
        <v>0</v>
      </c>
      <c r="F316" s="53" t="s">
        <v>9</v>
      </c>
      <c r="G316" s="52">
        <f>ROUND(E314*'[1]附表C-2营造林技术经济指标表'!$N$158,2)</f>
        <v>0</v>
      </c>
      <c r="H316" s="52" t="s">
        <v>9</v>
      </c>
      <c r="I316" s="52" t="s">
        <v>9</v>
      </c>
      <c r="J316" s="52" t="s">
        <v>9</v>
      </c>
      <c r="K316" s="52" t="s">
        <v>9</v>
      </c>
    </row>
    <row r="317" s="35" customFormat="1" hidden="1" spans="1:11">
      <c r="A317" s="52" t="s">
        <v>458</v>
      </c>
      <c r="B317" s="52" t="s">
        <v>9</v>
      </c>
      <c r="C317" s="52" t="s">
        <v>459</v>
      </c>
      <c r="D317" s="52" t="s">
        <v>185</v>
      </c>
      <c r="E317" s="52" t="s">
        <v>9</v>
      </c>
      <c r="F317" s="53" t="s">
        <v>9</v>
      </c>
      <c r="G317" s="52" t="s">
        <v>9</v>
      </c>
      <c r="H317" s="52" t="s">
        <v>9</v>
      </c>
      <c r="I317" s="52" t="s">
        <v>9</v>
      </c>
      <c r="J317" s="52" t="s">
        <v>9</v>
      </c>
      <c r="K317" s="52" t="s">
        <v>9</v>
      </c>
    </row>
    <row r="318" s="35" customFormat="1" hidden="1" spans="1:11">
      <c r="A318" s="52" t="s">
        <v>460</v>
      </c>
      <c r="B318" s="52" t="s">
        <v>9</v>
      </c>
      <c r="C318" s="52" t="s">
        <v>461</v>
      </c>
      <c r="D318" s="52" t="s">
        <v>170</v>
      </c>
      <c r="E318" s="52">
        <f>ROUND(E314*'[1]附表C-2营造林技术经济指标表'!$N$141,2)</f>
        <v>0</v>
      </c>
      <c r="F318" s="53">
        <f>ROUND(E314*'[1]附表C-2营造林技术经济指标表'!$N$142,2)</f>
        <v>0</v>
      </c>
      <c r="G318" s="52" t="s">
        <v>9</v>
      </c>
      <c r="H318" s="52" t="s">
        <v>9</v>
      </c>
      <c r="I318" s="52" t="s">
        <v>9</v>
      </c>
      <c r="J318" s="52" t="s">
        <v>9</v>
      </c>
      <c r="K318" s="52" t="s">
        <v>9</v>
      </c>
    </row>
    <row r="319" s="35" customFormat="1" hidden="1" spans="1:11">
      <c r="A319" s="52" t="s">
        <v>462</v>
      </c>
      <c r="B319" s="52" t="s">
        <v>407</v>
      </c>
      <c r="C319" s="52" t="s">
        <v>183</v>
      </c>
      <c r="D319" s="52" t="s">
        <v>121</v>
      </c>
      <c r="E319" s="52">
        <f>E286</f>
        <v>0</v>
      </c>
      <c r="F319" s="53">
        <f>SUM(F321:F323)</f>
        <v>0</v>
      </c>
      <c r="G319" s="52" t="s">
        <v>0</v>
      </c>
      <c r="H319" s="52" t="s">
        <v>0</v>
      </c>
      <c r="I319" s="52" t="s">
        <v>9</v>
      </c>
      <c r="J319" s="52" t="s">
        <v>9</v>
      </c>
      <c r="K319" s="52">
        <f>SUM(F319:J319)</f>
        <v>0</v>
      </c>
    </row>
    <row r="320" s="35" customFormat="1" hidden="1" spans="1:11">
      <c r="A320" s="52" t="s">
        <v>463</v>
      </c>
      <c r="B320" s="52" t="s">
        <v>9</v>
      </c>
      <c r="C320" s="52" t="s">
        <v>184</v>
      </c>
      <c r="D320" s="52" t="s">
        <v>450</v>
      </c>
      <c r="E320" s="52">
        <v>3</v>
      </c>
      <c r="F320" s="53" t="s">
        <v>9</v>
      </c>
      <c r="G320" s="52" t="s">
        <v>9</v>
      </c>
      <c r="H320" s="52" t="s">
        <v>9</v>
      </c>
      <c r="I320" s="52" t="s">
        <v>9</v>
      </c>
      <c r="J320" s="52" t="s">
        <v>9</v>
      </c>
      <c r="K320" s="52" t="s">
        <v>9</v>
      </c>
    </row>
    <row r="321" s="35" customFormat="1" hidden="1" spans="1:11">
      <c r="A321" s="52" t="s">
        <v>464</v>
      </c>
      <c r="B321" s="52" t="s">
        <v>9</v>
      </c>
      <c r="C321" s="52" t="s">
        <v>465</v>
      </c>
      <c r="D321" s="52" t="s">
        <v>170</v>
      </c>
      <c r="E321" s="52">
        <f>ROUND(E319*'[1]附表C-2营造林技术经济指标表'!$N$127,2)</f>
        <v>0</v>
      </c>
      <c r="F321" s="53">
        <f>ROUND(E319*'[1]附表C-2营造林技术经济指标表'!$N$128,2)</f>
        <v>0</v>
      </c>
      <c r="G321" s="52" t="s">
        <v>9</v>
      </c>
      <c r="H321" s="52" t="s">
        <v>9</v>
      </c>
      <c r="I321" s="52" t="s">
        <v>9</v>
      </c>
      <c r="J321" s="52" t="s">
        <v>9</v>
      </c>
      <c r="K321" s="52" t="s">
        <v>9</v>
      </c>
    </row>
    <row r="322" s="35" customFormat="1" hidden="1" spans="1:11">
      <c r="A322" s="52" t="s">
        <v>466</v>
      </c>
      <c r="B322" s="52"/>
      <c r="C322" s="52" t="s">
        <v>467</v>
      </c>
      <c r="D322" s="52" t="s">
        <v>170</v>
      </c>
      <c r="E322" s="52">
        <f>ROUND(E319*'[1]附表C-2营造林技术经济指标表'!$N$137,2)</f>
        <v>0</v>
      </c>
      <c r="F322" s="53">
        <f>ROUND(E319*'[1]附表C-2营造林技术经济指标表'!$N$138,2)</f>
        <v>0</v>
      </c>
      <c r="G322" s="52"/>
      <c r="H322" s="52"/>
      <c r="I322" s="52"/>
      <c r="J322" s="52"/>
      <c r="K322" s="52"/>
    </row>
    <row r="323" s="35" customFormat="1" hidden="1" spans="1:11">
      <c r="A323" s="52" t="s">
        <v>468</v>
      </c>
      <c r="B323" s="52"/>
      <c r="C323" s="52" t="s">
        <v>469</v>
      </c>
      <c r="D323" s="52" t="s">
        <v>170</v>
      </c>
      <c r="E323" s="52">
        <f>ROUND(E319*'[1]附表C-2营造林技术经济指标表'!$N$139,2)</f>
        <v>0</v>
      </c>
      <c r="F323" s="53">
        <f>ROUND(E319*'[1]附表C-2营造林技术经济指标表'!$N$140,2)</f>
        <v>0</v>
      </c>
      <c r="G323" s="52"/>
      <c r="H323" s="52"/>
      <c r="I323" s="52"/>
      <c r="J323" s="52"/>
      <c r="K323" s="52"/>
    </row>
    <row r="324" s="35" customFormat="1" hidden="1" spans="1:11">
      <c r="A324" s="52" t="s">
        <v>470</v>
      </c>
      <c r="B324" s="52" t="s">
        <v>408</v>
      </c>
      <c r="C324" s="52" t="s">
        <v>409</v>
      </c>
      <c r="D324" s="52" t="s">
        <v>121</v>
      </c>
      <c r="E324" s="52">
        <f>E286</f>
        <v>0</v>
      </c>
      <c r="F324" s="53"/>
      <c r="G324" s="52">
        <f>G325</f>
        <v>0</v>
      </c>
      <c r="H324" s="52"/>
      <c r="I324" s="52"/>
      <c r="J324" s="52"/>
      <c r="K324" s="52"/>
    </row>
    <row r="325" s="35" customFormat="1" hidden="1" spans="1:11">
      <c r="A325" s="52" t="s">
        <v>471</v>
      </c>
      <c r="B325" s="52"/>
      <c r="C325" s="52" t="s">
        <v>472</v>
      </c>
      <c r="D325" s="52" t="s">
        <v>473</v>
      </c>
      <c r="E325" s="52">
        <f>ROUND(E324*'[1]附表C-2营造林技术经济指标表'!$N$159,0)</f>
        <v>0</v>
      </c>
      <c r="F325" s="53"/>
      <c r="G325" s="52">
        <f>ROUND(E324*'[1]附表C-2营造林技术经济指标表'!$N$161,2)</f>
        <v>0</v>
      </c>
      <c r="H325" s="52"/>
      <c r="I325" s="52"/>
      <c r="J325" s="52"/>
      <c r="K325" s="52"/>
    </row>
    <row r="326" s="35" customFormat="1" hidden="1" spans="1:11">
      <c r="A326" s="52" t="s">
        <v>474</v>
      </c>
      <c r="B326" s="52" t="s">
        <v>410</v>
      </c>
      <c r="C326" s="52" t="s">
        <v>159</v>
      </c>
      <c r="D326" s="52" t="s">
        <v>121</v>
      </c>
      <c r="E326" s="52">
        <f>E286</f>
        <v>0</v>
      </c>
      <c r="F326" s="53">
        <f>F329</f>
        <v>0</v>
      </c>
      <c r="G326" s="52" t="s">
        <v>0</v>
      </c>
      <c r="H326" s="52" t="s">
        <v>0</v>
      </c>
      <c r="I326" s="52" t="s">
        <v>9</v>
      </c>
      <c r="J326" s="52" t="s">
        <v>9</v>
      </c>
      <c r="K326" s="52">
        <f>SUM(F326:J326)</f>
        <v>0</v>
      </c>
    </row>
    <row r="327" s="35" customFormat="1" hidden="1" spans="1:11">
      <c r="A327" s="52" t="s">
        <v>475</v>
      </c>
      <c r="B327" s="52" t="s">
        <v>9</v>
      </c>
      <c r="C327" s="52" t="s">
        <v>188</v>
      </c>
      <c r="D327" s="52" t="s">
        <v>476</v>
      </c>
      <c r="E327" s="52">
        <v>3</v>
      </c>
      <c r="F327" s="53" t="s">
        <v>9</v>
      </c>
      <c r="G327" s="52" t="s">
        <v>9</v>
      </c>
      <c r="H327" s="52" t="s">
        <v>9</v>
      </c>
      <c r="I327" s="52" t="s">
        <v>9</v>
      </c>
      <c r="J327" s="52" t="s">
        <v>9</v>
      </c>
      <c r="K327" s="52" t="s">
        <v>9</v>
      </c>
    </row>
    <row r="328" s="35" customFormat="1" hidden="1" spans="1:11">
      <c r="A328" s="52" t="s">
        <v>477</v>
      </c>
      <c r="B328" s="52" t="s">
        <v>9</v>
      </c>
      <c r="C328" s="52" t="s">
        <v>478</v>
      </c>
      <c r="D328" s="52" t="s">
        <v>479</v>
      </c>
      <c r="E328" s="52">
        <f>ROUND('[1]附表C-2营造林技术经济指标表'!$N$143/3*'[1]附表C-2营造林技术经济指标表'!$N$6,2)</f>
        <v>10.72</v>
      </c>
      <c r="F328" s="53" t="s">
        <v>9</v>
      </c>
      <c r="G328" s="52" t="s">
        <v>9</v>
      </c>
      <c r="H328" s="52" t="s">
        <v>9</v>
      </c>
      <c r="I328" s="52" t="s">
        <v>9</v>
      </c>
      <c r="J328" s="52" t="s">
        <v>9</v>
      </c>
      <c r="K328" s="52" t="s">
        <v>9</v>
      </c>
    </row>
    <row r="329" s="35" customFormat="1" hidden="1" spans="1:11">
      <c r="A329" s="52" t="s">
        <v>480</v>
      </c>
      <c r="B329" s="52" t="s">
        <v>9</v>
      </c>
      <c r="C329" s="52" t="s">
        <v>481</v>
      </c>
      <c r="D329" s="52" t="s">
        <v>170</v>
      </c>
      <c r="E329" s="52">
        <f>ROUND(E326*'[1]附表C-2营造林技术经济指标表'!$N$143,2)</f>
        <v>0</v>
      </c>
      <c r="F329" s="53">
        <f>ROUND(E326*'[1]附表C-2营造林技术经济指标表'!$N$144,2)</f>
        <v>0</v>
      </c>
      <c r="G329" s="52" t="s">
        <v>9</v>
      </c>
      <c r="H329" s="52" t="s">
        <v>9</v>
      </c>
      <c r="I329" s="52" t="s">
        <v>9</v>
      </c>
      <c r="J329" s="52" t="s">
        <v>9</v>
      </c>
      <c r="K329" s="52" t="s">
        <v>9</v>
      </c>
    </row>
    <row r="330" s="35" customFormat="1" hidden="1" spans="1:13">
      <c r="A330" s="52" t="s">
        <v>9</v>
      </c>
      <c r="B330" s="52" t="s">
        <v>9</v>
      </c>
      <c r="C330" s="52" t="s">
        <v>164</v>
      </c>
      <c r="D330" s="52" t="s">
        <v>9</v>
      </c>
      <c r="E330" s="52" t="s">
        <v>9</v>
      </c>
      <c r="F330" s="53">
        <f>SUM(F286,F294,F302,F309,F314,F319,F324,F326)</f>
        <v>0</v>
      </c>
      <c r="G330" s="53">
        <f>SUM(G286,G294,G302,G309,G314,G319,G324,G326)</f>
        <v>0</v>
      </c>
      <c r="H330" s="52" t="s">
        <v>0</v>
      </c>
      <c r="I330" s="52" t="s">
        <v>9</v>
      </c>
      <c r="J330" s="52" t="s">
        <v>9</v>
      </c>
      <c r="K330" s="52">
        <f>SUM(F330:J330)</f>
        <v>0</v>
      </c>
      <c r="M330" s="35" t="e">
        <f>K330/E326</f>
        <v>#DIV/0!</v>
      </c>
    </row>
    <row r="331" ht="117" hidden="1" customHeight="1"/>
    <row r="332" hidden="1" customHeight="1" spans="7:11">
      <c r="G332" s="20" t="s">
        <v>29</v>
      </c>
      <c r="H332" s="20" t="s">
        <v>0</v>
      </c>
      <c r="I332" s="20" t="s">
        <v>0</v>
      </c>
      <c r="J332" s="20" t="s">
        <v>0</v>
      </c>
      <c r="K332" s="20" t="s">
        <v>0</v>
      </c>
    </row>
  </sheetData>
  <mergeCells count="97">
    <mergeCell ref="A1:B1"/>
    <mergeCell ref="C1:I1"/>
    <mergeCell ref="J1:K1"/>
    <mergeCell ref="A2:K2"/>
    <mergeCell ref="A3:B3"/>
    <mergeCell ref="C3:I3"/>
    <mergeCell ref="J3:K3"/>
    <mergeCell ref="A4:B4"/>
    <mergeCell ref="C4:I4"/>
    <mergeCell ref="J4:K4"/>
    <mergeCell ref="A5:B5"/>
    <mergeCell ref="C5:I5"/>
    <mergeCell ref="J5:K5"/>
    <mergeCell ref="F6:K6"/>
    <mergeCell ref="A33:B33"/>
    <mergeCell ref="C33:I33"/>
    <mergeCell ref="J33:K33"/>
    <mergeCell ref="A34:K34"/>
    <mergeCell ref="G56:K56"/>
    <mergeCell ref="A57:B57"/>
    <mergeCell ref="C57:I57"/>
    <mergeCell ref="J57:K57"/>
    <mergeCell ref="A58:K58"/>
    <mergeCell ref="A59:B59"/>
    <mergeCell ref="C59:I59"/>
    <mergeCell ref="J59:K59"/>
    <mergeCell ref="A60:B60"/>
    <mergeCell ref="C60:I60"/>
    <mergeCell ref="J60:K60"/>
    <mergeCell ref="A61:B61"/>
    <mergeCell ref="C61:I61"/>
    <mergeCell ref="J61:K61"/>
    <mergeCell ref="F62:K62"/>
    <mergeCell ref="A89:B89"/>
    <mergeCell ref="C89:I89"/>
    <mergeCell ref="J89:K89"/>
    <mergeCell ref="A90:K90"/>
    <mergeCell ref="G112:K112"/>
    <mergeCell ref="A113:B113"/>
    <mergeCell ref="C113:I113"/>
    <mergeCell ref="J113:K113"/>
    <mergeCell ref="A114:K114"/>
    <mergeCell ref="A115:B115"/>
    <mergeCell ref="C115:I115"/>
    <mergeCell ref="J115:K115"/>
    <mergeCell ref="A116:B116"/>
    <mergeCell ref="C116:I116"/>
    <mergeCell ref="J116:K116"/>
    <mergeCell ref="A117:B117"/>
    <mergeCell ref="C117:I117"/>
    <mergeCell ref="J117:K117"/>
    <mergeCell ref="F118:K118"/>
    <mergeCell ref="A145:B145"/>
    <mergeCell ref="C145:I145"/>
    <mergeCell ref="J145:K145"/>
    <mergeCell ref="A146:K146"/>
    <mergeCell ref="G168:K168"/>
    <mergeCell ref="A169:B169"/>
    <mergeCell ref="C169:I169"/>
    <mergeCell ref="J169:K169"/>
    <mergeCell ref="A170:K170"/>
    <mergeCell ref="A171:B171"/>
    <mergeCell ref="C171:I171"/>
    <mergeCell ref="J171:K171"/>
    <mergeCell ref="A172:B172"/>
    <mergeCell ref="C172:I172"/>
    <mergeCell ref="J172:K172"/>
    <mergeCell ref="A173:B173"/>
    <mergeCell ref="C173:I173"/>
    <mergeCell ref="J173:K173"/>
    <mergeCell ref="F174:K174"/>
    <mergeCell ref="A201:B201"/>
    <mergeCell ref="C201:I201"/>
    <mergeCell ref="J201:K201"/>
    <mergeCell ref="A202:K202"/>
    <mergeCell ref="G224:K224"/>
    <mergeCell ref="J279:K279"/>
    <mergeCell ref="A6:A7"/>
    <mergeCell ref="A62:A63"/>
    <mergeCell ref="A118:A119"/>
    <mergeCell ref="A174:A175"/>
    <mergeCell ref="B6:B7"/>
    <mergeCell ref="B62:B63"/>
    <mergeCell ref="B118:B119"/>
    <mergeCell ref="B174:B175"/>
    <mergeCell ref="C6:C7"/>
    <mergeCell ref="C62:C63"/>
    <mergeCell ref="C118:C119"/>
    <mergeCell ref="C174:C175"/>
    <mergeCell ref="D6:D7"/>
    <mergeCell ref="D62:D63"/>
    <mergeCell ref="D118:D119"/>
    <mergeCell ref="D174:D175"/>
    <mergeCell ref="E6:E7"/>
    <mergeCell ref="E62:E63"/>
    <mergeCell ref="E118:E119"/>
    <mergeCell ref="E174:E175"/>
  </mergeCells>
  <pageMargins left="0.708661417322835" right="0.708661417322835" top="0.748031496062992" bottom="0.748031496062992" header="0.31496062992126" footer="0.31496062992126"/>
  <pageSetup paperSize="9" orientation="landscape"/>
  <headerFooter/>
  <rowBreaks count="8" manualBreakCount="8">
    <brk id="32" max="10" man="1"/>
    <brk id="56" max="10" man="1"/>
    <brk id="88" max="10" man="1"/>
    <brk id="112" max="10" man="1"/>
    <brk id="144" max="10" man="1"/>
    <brk id="168" max="10" man="1"/>
    <brk id="200" max="10" man="1"/>
    <brk id="224" max="10" man="1"/>
  </rowBreaks>
  <ignoredErrors>
    <ignoredError sqref="F101 F157 F213" formulaRange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Q99"/>
  <sheetViews>
    <sheetView view="pageBreakPreview" zoomScaleNormal="100" topLeftCell="A30" workbookViewId="0">
      <selection activeCell="A41" sqref="A41:K41"/>
    </sheetView>
  </sheetViews>
  <sheetFormatPr defaultColWidth="9" defaultRowHeight="14.4"/>
  <cols>
    <col min="6" max="6" width="23.3333333333333" customWidth="1"/>
    <col min="7" max="7" width="16.7777777777778" customWidth="1"/>
    <col min="9" max="9" width="11.8148148148148"/>
    <col min="14" max="14" width="12.8888888888889"/>
    <col min="15" max="15" width="10.6666666666667"/>
    <col min="16" max="17" width="12.8888888888889"/>
  </cols>
  <sheetData>
    <row r="1" ht="20.4" spans="1:13">
      <c r="A1" s="1" t="s">
        <v>197</v>
      </c>
      <c r="B1" s="1"/>
      <c r="C1" s="1"/>
      <c r="D1" s="1"/>
      <c r="E1" s="1"/>
      <c r="F1" s="1"/>
      <c r="G1" s="1"/>
      <c r="H1" s="1"/>
      <c r="I1" s="1"/>
      <c r="J1" s="1"/>
      <c r="K1" s="1"/>
      <c r="L1" s="9" t="s">
        <v>482</v>
      </c>
      <c r="M1" s="9"/>
    </row>
    <row r="2" spans="1:13">
      <c r="A2" s="20" t="s">
        <v>24</v>
      </c>
      <c r="B2" s="20" t="s">
        <v>0</v>
      </c>
      <c r="C2" s="13" t="s">
        <v>483</v>
      </c>
      <c r="D2" s="13" t="s">
        <v>0</v>
      </c>
      <c r="E2" s="13" t="s">
        <v>0</v>
      </c>
      <c r="F2" s="13" t="s">
        <v>0</v>
      </c>
      <c r="G2" s="13"/>
      <c r="H2" s="13" t="s">
        <v>0</v>
      </c>
      <c r="I2" s="13" t="s">
        <v>0</v>
      </c>
      <c r="J2" s="13" t="s">
        <v>0</v>
      </c>
      <c r="K2" s="13" t="s">
        <v>413</v>
      </c>
      <c r="L2" s="13" t="s">
        <v>0</v>
      </c>
      <c r="M2" s="27"/>
    </row>
    <row r="3" customHeight="1" spans="1:13">
      <c r="A3" s="20" t="s">
        <v>133</v>
      </c>
      <c r="B3" s="20" t="s">
        <v>0</v>
      </c>
      <c r="C3" s="13" t="s">
        <v>348</v>
      </c>
      <c r="D3" s="13" t="s">
        <v>0</v>
      </c>
      <c r="E3" s="13" t="s">
        <v>0</v>
      </c>
      <c r="F3" s="13" t="s">
        <v>0</v>
      </c>
      <c r="G3" s="13"/>
      <c r="H3" s="13" t="s">
        <v>0</v>
      </c>
      <c r="I3" s="13" t="s">
        <v>0</v>
      </c>
      <c r="J3" s="13" t="s">
        <v>0</v>
      </c>
      <c r="K3" s="13" t="s">
        <v>349</v>
      </c>
      <c r="L3" s="13" t="s">
        <v>0</v>
      </c>
      <c r="M3" s="11"/>
    </row>
    <row r="4" spans="1:13">
      <c r="A4" s="20" t="s">
        <v>136</v>
      </c>
      <c r="B4" s="20" t="s">
        <v>0</v>
      </c>
      <c r="C4" s="13" t="s">
        <v>484</v>
      </c>
      <c r="D4" s="13" t="s">
        <v>0</v>
      </c>
      <c r="E4" s="13" t="s">
        <v>0</v>
      </c>
      <c r="F4" s="13" t="s">
        <v>0</v>
      </c>
      <c r="G4" s="13"/>
      <c r="H4" s="13" t="s">
        <v>0</v>
      </c>
      <c r="I4" s="13" t="s">
        <v>0</v>
      </c>
      <c r="J4" s="13" t="s">
        <v>0</v>
      </c>
      <c r="K4" s="28"/>
      <c r="L4" s="28"/>
      <c r="M4" s="11"/>
    </row>
    <row r="5" ht="40.8" customHeight="1" spans="1:13">
      <c r="A5" s="3" t="s">
        <v>48</v>
      </c>
      <c r="B5" s="3" t="s">
        <v>108</v>
      </c>
      <c r="C5" s="3" t="s">
        <v>0</v>
      </c>
      <c r="D5" s="3" t="s">
        <v>109</v>
      </c>
      <c r="E5" s="3" t="s">
        <v>0</v>
      </c>
      <c r="F5" s="3" t="s">
        <v>201</v>
      </c>
      <c r="G5" s="3" t="s">
        <v>202</v>
      </c>
      <c r="H5" s="3" t="s">
        <v>203</v>
      </c>
      <c r="I5" s="3" t="s">
        <v>204</v>
      </c>
      <c r="J5" s="3" t="s">
        <v>205</v>
      </c>
      <c r="K5" s="3" t="s">
        <v>0</v>
      </c>
      <c r="L5" s="3" t="s">
        <v>206</v>
      </c>
      <c r="M5" s="3" t="s">
        <v>207</v>
      </c>
    </row>
    <row r="6" ht="20" customHeight="1" spans="1:13">
      <c r="A6" s="3" t="s">
        <v>53</v>
      </c>
      <c r="B6" s="3" t="s">
        <v>485</v>
      </c>
      <c r="C6" s="3" t="s">
        <v>0</v>
      </c>
      <c r="D6" s="8" t="s">
        <v>209</v>
      </c>
      <c r="E6" s="8" t="s">
        <v>0</v>
      </c>
      <c r="F6" s="3"/>
      <c r="G6" s="3"/>
      <c r="H6" s="3"/>
      <c r="I6" s="3">
        <f>SUM(I7:I10)</f>
        <v>0</v>
      </c>
      <c r="J6" s="18" t="s">
        <v>0</v>
      </c>
      <c r="K6" s="18" t="s">
        <v>0</v>
      </c>
      <c r="L6" s="18" t="s">
        <v>0</v>
      </c>
      <c r="M6" s="18"/>
    </row>
    <row r="7" ht="42" customHeight="1" spans="1:17">
      <c r="A7" s="3" t="s">
        <v>210</v>
      </c>
      <c r="B7" s="3" t="s">
        <v>211</v>
      </c>
      <c r="C7" s="3" t="s">
        <v>0</v>
      </c>
      <c r="D7" s="8" t="s">
        <v>212</v>
      </c>
      <c r="E7" s="8" t="s">
        <v>0</v>
      </c>
      <c r="F7" s="3" t="s">
        <v>213</v>
      </c>
      <c r="G7" s="15">
        <f>Q7</f>
        <v>0</v>
      </c>
      <c r="H7" s="3"/>
      <c r="I7" s="16">
        <f>ROUND(G7*H7/100,2)*0.95</f>
        <v>0</v>
      </c>
      <c r="J7" s="18" t="s">
        <v>0</v>
      </c>
      <c r="K7" s="18" t="s">
        <v>0</v>
      </c>
      <c r="L7" s="18" t="s">
        <v>0</v>
      </c>
      <c r="M7" s="18"/>
      <c r="N7">
        <f>'D3-4 分部分项工程量清单综合单价计算表(分页带材料)【现~'!K54</f>
        <v>0</v>
      </c>
      <c r="O7">
        <f>'G.1规费、税金项目清单计价表-GP型'!F6</f>
        <v>0</v>
      </c>
      <c r="P7">
        <f>'F1.1暂列金额明细表（GP型）'!D7</f>
        <v>0</v>
      </c>
      <c r="Q7">
        <f>N7+O7+P7</f>
        <v>0</v>
      </c>
    </row>
    <row r="8" ht="42" customHeight="1" spans="1:13">
      <c r="A8" s="3" t="s">
        <v>214</v>
      </c>
      <c r="B8" s="3" t="s">
        <v>215</v>
      </c>
      <c r="C8" s="3" t="s">
        <v>0</v>
      </c>
      <c r="D8" s="8" t="s">
        <v>216</v>
      </c>
      <c r="E8" s="8" t="s">
        <v>0</v>
      </c>
      <c r="F8" s="3" t="s">
        <v>213</v>
      </c>
      <c r="G8" s="15">
        <f>$G$7</f>
        <v>0</v>
      </c>
      <c r="H8" s="3"/>
      <c r="I8" s="16">
        <f t="shared" ref="I8:I13" si="0">ROUND(G8*H8/100,2)*0.95</f>
        <v>0</v>
      </c>
      <c r="J8" s="18" t="s">
        <v>0</v>
      </c>
      <c r="K8" s="18" t="s">
        <v>0</v>
      </c>
      <c r="L8" s="18" t="s">
        <v>0</v>
      </c>
      <c r="M8" s="18"/>
    </row>
    <row r="9" ht="42" customHeight="1" spans="1:13">
      <c r="A9" s="3" t="s">
        <v>217</v>
      </c>
      <c r="B9" s="3" t="s">
        <v>218</v>
      </c>
      <c r="C9" s="3" t="s">
        <v>0</v>
      </c>
      <c r="D9" s="8" t="s">
        <v>219</v>
      </c>
      <c r="E9" s="8" t="s">
        <v>0</v>
      </c>
      <c r="F9" s="3" t="s">
        <v>213</v>
      </c>
      <c r="G9" s="15">
        <f t="shared" ref="G9:G12" si="1">$G$7</f>
        <v>0</v>
      </c>
      <c r="H9" s="16">
        <v>1.4</v>
      </c>
      <c r="I9" s="16">
        <f t="shared" si="0"/>
        <v>0</v>
      </c>
      <c r="J9" s="18" t="s">
        <v>0</v>
      </c>
      <c r="K9" s="18" t="s">
        <v>0</v>
      </c>
      <c r="L9" s="18" t="s">
        <v>0</v>
      </c>
      <c r="M9" s="18"/>
    </row>
    <row r="10" ht="42" customHeight="1" spans="1:13">
      <c r="A10" s="3" t="s">
        <v>220</v>
      </c>
      <c r="B10" s="3" t="s">
        <v>221</v>
      </c>
      <c r="C10" s="3" t="s">
        <v>0</v>
      </c>
      <c r="D10" s="8" t="s">
        <v>222</v>
      </c>
      <c r="E10" s="8" t="s">
        <v>0</v>
      </c>
      <c r="F10" s="3" t="s">
        <v>213</v>
      </c>
      <c r="G10" s="15">
        <f t="shared" si="1"/>
        <v>0</v>
      </c>
      <c r="H10" s="3"/>
      <c r="I10" s="16">
        <f t="shared" si="0"/>
        <v>0</v>
      </c>
      <c r="J10" s="18" t="s">
        <v>0</v>
      </c>
      <c r="K10" s="18" t="s">
        <v>0</v>
      </c>
      <c r="L10" s="18" t="s">
        <v>0</v>
      </c>
      <c r="M10" s="18"/>
    </row>
    <row r="11" ht="42" customHeight="1" spans="1:13">
      <c r="A11" s="3" t="s">
        <v>60</v>
      </c>
      <c r="B11" s="3" t="s">
        <v>486</v>
      </c>
      <c r="C11" s="3" t="s">
        <v>0</v>
      </c>
      <c r="D11" s="8" t="s">
        <v>224</v>
      </c>
      <c r="E11" s="8" t="s">
        <v>0</v>
      </c>
      <c r="F11" s="3" t="s">
        <v>213</v>
      </c>
      <c r="G11" s="15">
        <f t="shared" si="1"/>
        <v>0</v>
      </c>
      <c r="H11" s="3"/>
      <c r="I11" s="16">
        <f t="shared" si="0"/>
        <v>0</v>
      </c>
      <c r="J11" s="18" t="s">
        <v>0</v>
      </c>
      <c r="K11" s="18" t="s">
        <v>0</v>
      </c>
      <c r="L11" s="18" t="s">
        <v>0</v>
      </c>
      <c r="M11" s="18"/>
    </row>
    <row r="12" ht="42" customHeight="1" spans="1:13">
      <c r="A12" s="3" t="s">
        <v>64</v>
      </c>
      <c r="B12" s="3" t="s">
        <v>487</v>
      </c>
      <c r="C12" s="3" t="s">
        <v>0</v>
      </c>
      <c r="D12" s="8" t="s">
        <v>226</v>
      </c>
      <c r="E12" s="8" t="s">
        <v>0</v>
      </c>
      <c r="F12" s="3" t="s">
        <v>213</v>
      </c>
      <c r="G12" s="15">
        <f t="shared" si="1"/>
        <v>0</v>
      </c>
      <c r="H12" s="3"/>
      <c r="I12" s="16">
        <f t="shared" si="0"/>
        <v>0</v>
      </c>
      <c r="J12" s="18" t="s">
        <v>0</v>
      </c>
      <c r="K12" s="18" t="s">
        <v>0</v>
      </c>
      <c r="L12" s="18" t="s">
        <v>0</v>
      </c>
      <c r="M12" s="18"/>
    </row>
    <row r="13" ht="42" customHeight="1" spans="1:13">
      <c r="A13" s="3" t="s">
        <v>74</v>
      </c>
      <c r="B13" s="3" t="s">
        <v>488</v>
      </c>
      <c r="C13" s="3" t="s">
        <v>0</v>
      </c>
      <c r="D13" s="8" t="s">
        <v>228</v>
      </c>
      <c r="E13" s="8" t="s">
        <v>0</v>
      </c>
      <c r="F13" s="3" t="s">
        <v>213</v>
      </c>
      <c r="G13" s="15">
        <f t="shared" ref="G13" si="2">$G$7</f>
        <v>0</v>
      </c>
      <c r="H13" s="3"/>
      <c r="I13" s="16">
        <f t="shared" si="0"/>
        <v>0</v>
      </c>
      <c r="J13" s="18" t="s">
        <v>0</v>
      </c>
      <c r="K13" s="18" t="s">
        <v>0</v>
      </c>
      <c r="L13" s="18" t="s">
        <v>0</v>
      </c>
      <c r="M13" s="18"/>
    </row>
    <row r="14" ht="20" customHeight="1" spans="1:13">
      <c r="A14" s="3" t="s">
        <v>75</v>
      </c>
      <c r="B14" s="3" t="s">
        <v>489</v>
      </c>
      <c r="C14" s="3" t="s">
        <v>0</v>
      </c>
      <c r="D14" s="8" t="s">
        <v>230</v>
      </c>
      <c r="E14" s="8" t="s">
        <v>0</v>
      </c>
      <c r="F14" s="3"/>
      <c r="G14" s="3"/>
      <c r="H14" s="3"/>
      <c r="I14" s="3" t="s">
        <v>0</v>
      </c>
      <c r="J14" s="18" t="s">
        <v>0</v>
      </c>
      <c r="K14" s="18" t="s">
        <v>0</v>
      </c>
      <c r="L14" s="18" t="s">
        <v>0</v>
      </c>
      <c r="M14" s="18"/>
    </row>
    <row r="15" ht="25.8" customHeight="1" spans="1:13">
      <c r="A15" s="3" t="s">
        <v>77</v>
      </c>
      <c r="B15" s="3" t="s">
        <v>490</v>
      </c>
      <c r="C15" s="3" t="s">
        <v>0</v>
      </c>
      <c r="D15" s="8" t="s">
        <v>232</v>
      </c>
      <c r="E15" s="8" t="s">
        <v>0</v>
      </c>
      <c r="F15" s="3"/>
      <c r="G15" s="3"/>
      <c r="H15" s="3"/>
      <c r="I15" s="3" t="s">
        <v>0</v>
      </c>
      <c r="J15" s="18" t="s">
        <v>0</v>
      </c>
      <c r="K15" s="18" t="s">
        <v>0</v>
      </c>
      <c r="L15" s="18" t="s">
        <v>0</v>
      </c>
      <c r="M15" s="18"/>
    </row>
    <row r="16" ht="20" customHeight="1" spans="1:13">
      <c r="A16" s="3" t="s">
        <v>81</v>
      </c>
      <c r="B16" s="3" t="s">
        <v>491</v>
      </c>
      <c r="C16" s="3" t="s">
        <v>0</v>
      </c>
      <c r="D16" s="8" t="s">
        <v>234</v>
      </c>
      <c r="E16" s="8" t="s">
        <v>0</v>
      </c>
      <c r="F16" s="3"/>
      <c r="G16" s="3"/>
      <c r="H16" s="3"/>
      <c r="I16" s="3" t="s">
        <v>0</v>
      </c>
      <c r="J16" s="18" t="s">
        <v>0</v>
      </c>
      <c r="K16" s="18" t="s">
        <v>0</v>
      </c>
      <c r="L16" s="18" t="s">
        <v>0</v>
      </c>
      <c r="M16" s="18"/>
    </row>
    <row r="17" ht="43.8" customHeight="1" spans="1:13">
      <c r="A17" s="3" t="s">
        <v>157</v>
      </c>
      <c r="B17" s="3" t="s">
        <v>492</v>
      </c>
      <c r="C17" s="3" t="s">
        <v>0</v>
      </c>
      <c r="D17" s="8" t="s">
        <v>236</v>
      </c>
      <c r="E17" s="8" t="s">
        <v>0</v>
      </c>
      <c r="F17" s="3" t="s">
        <v>213</v>
      </c>
      <c r="G17" s="15">
        <f t="shared" ref="G17" si="3">$G$7</f>
        <v>0</v>
      </c>
      <c r="H17" s="3"/>
      <c r="I17" s="16">
        <f>ROUND(G17*H17/100,2)*0.95</f>
        <v>0</v>
      </c>
      <c r="J17" s="29"/>
      <c r="K17" s="30"/>
      <c r="L17" s="18"/>
      <c r="M17" s="18"/>
    </row>
    <row r="18" spans="1:13">
      <c r="A18" s="25" t="s">
        <v>142</v>
      </c>
      <c r="B18" s="25"/>
      <c r="C18" s="25"/>
      <c r="D18" s="25"/>
      <c r="E18" s="25"/>
      <c r="F18" s="26"/>
      <c r="G18" s="26"/>
      <c r="H18" s="26"/>
      <c r="I18" s="31">
        <f>SUM(I7:I17)</f>
        <v>0</v>
      </c>
      <c r="J18" s="32"/>
      <c r="K18" s="33"/>
      <c r="L18" s="26"/>
      <c r="M18" s="26"/>
    </row>
    <row r="19" ht="50.4" customHeight="1" spans="1:13">
      <c r="A19" s="13" t="s">
        <v>237</v>
      </c>
      <c r="B19" s="13" t="s">
        <v>0</v>
      </c>
      <c r="C19" s="13" t="s">
        <v>0</v>
      </c>
      <c r="D19" s="13" t="s">
        <v>0</v>
      </c>
      <c r="E19" s="13" t="s">
        <v>0</v>
      </c>
      <c r="F19" s="13" t="s">
        <v>0</v>
      </c>
      <c r="G19" s="13"/>
      <c r="H19" s="13" t="s">
        <v>0</v>
      </c>
      <c r="I19" s="13" t="s">
        <v>0</v>
      </c>
      <c r="J19" s="13" t="s">
        <v>0</v>
      </c>
      <c r="K19" s="13" t="s">
        <v>0</v>
      </c>
      <c r="L19" s="13" t="s">
        <v>0</v>
      </c>
      <c r="M19" s="13" t="s">
        <v>0</v>
      </c>
    </row>
    <row r="21" ht="20.4" customHeight="1" spans="1:13">
      <c r="A21" s="1" t="s">
        <v>197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9" t="s">
        <v>493</v>
      </c>
      <c r="M21" s="9"/>
    </row>
    <row r="22" spans="1:13">
      <c r="A22" s="20" t="s">
        <v>24</v>
      </c>
      <c r="B22" s="20" t="s">
        <v>0</v>
      </c>
      <c r="C22" s="13" t="s">
        <v>483</v>
      </c>
      <c r="D22" s="13" t="s">
        <v>0</v>
      </c>
      <c r="E22" s="13" t="s">
        <v>0</v>
      </c>
      <c r="F22" s="13" t="s">
        <v>0</v>
      </c>
      <c r="G22" s="13"/>
      <c r="H22" s="13" t="s">
        <v>0</v>
      </c>
      <c r="I22" s="13" t="s">
        <v>0</v>
      </c>
      <c r="J22" s="13" t="s">
        <v>0</v>
      </c>
      <c r="K22" s="13" t="s">
        <v>132</v>
      </c>
      <c r="L22" s="13" t="s">
        <v>0</v>
      </c>
      <c r="M22" s="27"/>
    </row>
    <row r="23" customHeight="1" spans="1:13">
      <c r="A23" s="20" t="s">
        <v>133</v>
      </c>
      <c r="B23" s="20" t="s">
        <v>0</v>
      </c>
      <c r="C23" s="13" t="s">
        <v>494</v>
      </c>
      <c r="D23" s="13" t="s">
        <v>0</v>
      </c>
      <c r="E23" s="13" t="s">
        <v>0</v>
      </c>
      <c r="F23" s="13" t="s">
        <v>0</v>
      </c>
      <c r="G23" s="13"/>
      <c r="H23" s="13" t="s">
        <v>0</v>
      </c>
      <c r="I23" s="13" t="s">
        <v>0</v>
      </c>
      <c r="J23" s="13" t="s">
        <v>0</v>
      </c>
      <c r="K23" s="13" t="s">
        <v>362</v>
      </c>
      <c r="L23" s="13" t="s">
        <v>0</v>
      </c>
      <c r="M23" s="11"/>
    </row>
    <row r="24" spans="1:13">
      <c r="A24" s="20" t="s">
        <v>136</v>
      </c>
      <c r="B24" s="20" t="s">
        <v>0</v>
      </c>
      <c r="C24" s="13" t="s">
        <v>495</v>
      </c>
      <c r="D24" s="13" t="s">
        <v>0</v>
      </c>
      <c r="E24" s="13" t="s">
        <v>0</v>
      </c>
      <c r="F24" s="13" t="s">
        <v>0</v>
      </c>
      <c r="G24" s="13"/>
      <c r="H24" s="13" t="s">
        <v>0</v>
      </c>
      <c r="I24" s="13" t="s">
        <v>0</v>
      </c>
      <c r="J24" s="13" t="s">
        <v>0</v>
      </c>
      <c r="K24" s="28"/>
      <c r="L24" s="28"/>
      <c r="M24" s="11"/>
    </row>
    <row r="25" ht="28.2" customHeight="1" spans="1:13">
      <c r="A25" s="3" t="s">
        <v>48</v>
      </c>
      <c r="B25" s="3" t="s">
        <v>108</v>
      </c>
      <c r="C25" s="3" t="s">
        <v>0</v>
      </c>
      <c r="D25" s="3" t="s">
        <v>109</v>
      </c>
      <c r="E25" s="3" t="s">
        <v>0</v>
      </c>
      <c r="F25" s="3" t="s">
        <v>201</v>
      </c>
      <c r="G25" s="3" t="s">
        <v>202</v>
      </c>
      <c r="H25" s="3" t="s">
        <v>203</v>
      </c>
      <c r="I25" s="3" t="s">
        <v>204</v>
      </c>
      <c r="J25" s="3" t="s">
        <v>205</v>
      </c>
      <c r="K25" s="3" t="s">
        <v>0</v>
      </c>
      <c r="L25" s="3" t="s">
        <v>206</v>
      </c>
      <c r="M25" s="3" t="s">
        <v>207</v>
      </c>
    </row>
    <row r="26" ht="20" customHeight="1" spans="1:13">
      <c r="A26" s="3" t="s">
        <v>53</v>
      </c>
      <c r="B26" s="3" t="s">
        <v>496</v>
      </c>
      <c r="C26" s="3" t="s">
        <v>0</v>
      </c>
      <c r="D26" s="8" t="s">
        <v>209</v>
      </c>
      <c r="E26" s="8" t="s">
        <v>0</v>
      </c>
      <c r="F26" s="3"/>
      <c r="G26" s="3"/>
      <c r="H26" s="3"/>
      <c r="I26" s="3">
        <f>SUM(I27:I30)</f>
        <v>0</v>
      </c>
      <c r="J26" s="18" t="s">
        <v>0</v>
      </c>
      <c r="K26" s="18" t="s">
        <v>0</v>
      </c>
      <c r="L26" s="18" t="s">
        <v>0</v>
      </c>
      <c r="M26" s="18"/>
    </row>
    <row r="27" ht="42" customHeight="1" spans="1:17">
      <c r="A27" s="3" t="s">
        <v>210</v>
      </c>
      <c r="B27" s="3" t="s">
        <v>211</v>
      </c>
      <c r="C27" s="3" t="s">
        <v>0</v>
      </c>
      <c r="D27" s="8" t="s">
        <v>212</v>
      </c>
      <c r="E27" s="8" t="s">
        <v>0</v>
      </c>
      <c r="F27" s="3" t="s">
        <v>213</v>
      </c>
      <c r="G27" s="15">
        <f>Q27</f>
        <v>0</v>
      </c>
      <c r="H27" s="3"/>
      <c r="I27" s="16">
        <f>ROUND(G27*H27/100,2)*0.95</f>
        <v>0</v>
      </c>
      <c r="J27" s="18" t="s">
        <v>0</v>
      </c>
      <c r="K27" s="18" t="s">
        <v>0</v>
      </c>
      <c r="L27" s="18" t="s">
        <v>0</v>
      </c>
      <c r="M27" s="18"/>
      <c r="N27">
        <f>'D3-4 分部分项工程量清单综合单价计算表(分页带材料)【现~'!K110</f>
        <v>0</v>
      </c>
      <c r="O27">
        <f>'G.1规费、税金项目清单计价表-GP型'!F17</f>
        <v>0</v>
      </c>
      <c r="P27">
        <f>'F1.1暂列金额明细表（GP型）'!D35</f>
        <v>0</v>
      </c>
      <c r="Q27">
        <f>N27+O27+P27</f>
        <v>0</v>
      </c>
    </row>
    <row r="28" ht="42" customHeight="1" spans="1:13">
      <c r="A28" s="3" t="s">
        <v>214</v>
      </c>
      <c r="B28" s="3" t="s">
        <v>215</v>
      </c>
      <c r="C28" s="3" t="s">
        <v>0</v>
      </c>
      <c r="D28" s="8" t="s">
        <v>216</v>
      </c>
      <c r="E28" s="8" t="s">
        <v>0</v>
      </c>
      <c r="F28" s="3" t="s">
        <v>213</v>
      </c>
      <c r="G28" s="15">
        <f>$G$27</f>
        <v>0</v>
      </c>
      <c r="H28" s="3"/>
      <c r="I28" s="16">
        <f t="shared" ref="I28:I33" si="4">ROUND(G28*H28/100,2)*0.95</f>
        <v>0</v>
      </c>
      <c r="J28" s="18" t="s">
        <v>0</v>
      </c>
      <c r="K28" s="18" t="s">
        <v>0</v>
      </c>
      <c r="L28" s="18" t="s">
        <v>0</v>
      </c>
      <c r="M28" s="18"/>
    </row>
    <row r="29" ht="42" customHeight="1" spans="1:13">
      <c r="A29" s="3" t="s">
        <v>217</v>
      </c>
      <c r="B29" s="3" t="s">
        <v>218</v>
      </c>
      <c r="C29" s="3" t="s">
        <v>0</v>
      </c>
      <c r="D29" s="8" t="s">
        <v>219</v>
      </c>
      <c r="E29" s="8" t="s">
        <v>0</v>
      </c>
      <c r="F29" s="3" t="s">
        <v>213</v>
      </c>
      <c r="G29" s="15">
        <f t="shared" ref="G29:G32" si="5">$G$27</f>
        <v>0</v>
      </c>
      <c r="H29" s="16">
        <v>1.4</v>
      </c>
      <c r="I29" s="16">
        <f t="shared" si="4"/>
        <v>0</v>
      </c>
      <c r="J29" s="18" t="s">
        <v>0</v>
      </c>
      <c r="K29" s="18" t="s">
        <v>0</v>
      </c>
      <c r="L29" s="18" t="s">
        <v>0</v>
      </c>
      <c r="M29" s="18"/>
    </row>
    <row r="30" ht="42" customHeight="1" spans="1:13">
      <c r="A30" s="3" t="s">
        <v>220</v>
      </c>
      <c r="B30" s="3" t="s">
        <v>221</v>
      </c>
      <c r="C30" s="3" t="s">
        <v>0</v>
      </c>
      <c r="D30" s="8" t="s">
        <v>222</v>
      </c>
      <c r="E30" s="8" t="s">
        <v>0</v>
      </c>
      <c r="F30" s="3" t="s">
        <v>213</v>
      </c>
      <c r="G30" s="15">
        <f t="shared" si="5"/>
        <v>0</v>
      </c>
      <c r="H30" s="3"/>
      <c r="I30" s="16">
        <f t="shared" si="4"/>
        <v>0</v>
      </c>
      <c r="J30" s="18" t="s">
        <v>0</v>
      </c>
      <c r="K30" s="18" t="s">
        <v>0</v>
      </c>
      <c r="L30" s="18" t="s">
        <v>0</v>
      </c>
      <c r="M30" s="18"/>
    </row>
    <row r="31" ht="42" customHeight="1" spans="1:13">
      <c r="A31" s="3" t="s">
        <v>60</v>
      </c>
      <c r="B31" s="3" t="s">
        <v>497</v>
      </c>
      <c r="C31" s="3" t="s">
        <v>0</v>
      </c>
      <c r="D31" s="8" t="s">
        <v>224</v>
      </c>
      <c r="E31" s="8" t="s">
        <v>0</v>
      </c>
      <c r="F31" s="3" t="s">
        <v>213</v>
      </c>
      <c r="G31" s="15">
        <f t="shared" si="5"/>
        <v>0</v>
      </c>
      <c r="H31" s="3"/>
      <c r="I31" s="16">
        <f t="shared" si="4"/>
        <v>0</v>
      </c>
      <c r="J31" s="18" t="s">
        <v>0</v>
      </c>
      <c r="K31" s="18" t="s">
        <v>0</v>
      </c>
      <c r="L31" s="18" t="s">
        <v>0</v>
      </c>
      <c r="M31" s="18"/>
    </row>
    <row r="32" ht="42" customHeight="1" spans="1:13">
      <c r="A32" s="3" t="s">
        <v>64</v>
      </c>
      <c r="B32" s="3" t="s">
        <v>498</v>
      </c>
      <c r="C32" s="3" t="s">
        <v>0</v>
      </c>
      <c r="D32" s="8" t="s">
        <v>226</v>
      </c>
      <c r="E32" s="8" t="s">
        <v>0</v>
      </c>
      <c r="F32" s="3" t="s">
        <v>213</v>
      </c>
      <c r="G32" s="15">
        <f t="shared" si="5"/>
        <v>0</v>
      </c>
      <c r="H32" s="3"/>
      <c r="I32" s="16">
        <f t="shared" si="4"/>
        <v>0</v>
      </c>
      <c r="J32" s="18" t="s">
        <v>0</v>
      </c>
      <c r="K32" s="18" t="s">
        <v>0</v>
      </c>
      <c r="L32" s="18" t="s">
        <v>0</v>
      </c>
      <c r="M32" s="18"/>
    </row>
    <row r="33" ht="42" customHeight="1" spans="1:13">
      <c r="A33" s="3" t="s">
        <v>74</v>
      </c>
      <c r="B33" s="3" t="s">
        <v>499</v>
      </c>
      <c r="C33" s="3" t="s">
        <v>0</v>
      </c>
      <c r="D33" s="8" t="s">
        <v>228</v>
      </c>
      <c r="E33" s="8" t="s">
        <v>0</v>
      </c>
      <c r="F33" s="3" t="s">
        <v>213</v>
      </c>
      <c r="G33" s="15">
        <f t="shared" ref="G33" si="6">$G$27</f>
        <v>0</v>
      </c>
      <c r="H33" s="3"/>
      <c r="I33" s="16">
        <f t="shared" si="4"/>
        <v>0</v>
      </c>
      <c r="J33" s="18" t="s">
        <v>0</v>
      </c>
      <c r="K33" s="18" t="s">
        <v>0</v>
      </c>
      <c r="L33" s="18" t="s">
        <v>0</v>
      </c>
      <c r="M33" s="18"/>
    </row>
    <row r="34" ht="20" customHeight="1" spans="1:13">
      <c r="A34" s="3" t="s">
        <v>75</v>
      </c>
      <c r="B34" s="3" t="s">
        <v>500</v>
      </c>
      <c r="C34" s="3" t="s">
        <v>0</v>
      </c>
      <c r="D34" s="8" t="s">
        <v>230</v>
      </c>
      <c r="E34" s="8" t="s">
        <v>0</v>
      </c>
      <c r="F34" s="3"/>
      <c r="G34" s="3"/>
      <c r="H34" s="3"/>
      <c r="I34" s="16"/>
      <c r="J34" s="18" t="s">
        <v>0</v>
      </c>
      <c r="K34" s="18" t="s">
        <v>0</v>
      </c>
      <c r="L34" s="18" t="s">
        <v>0</v>
      </c>
      <c r="M34" s="18"/>
    </row>
    <row r="35" ht="30" customHeight="1" spans="1:13">
      <c r="A35" s="3" t="s">
        <v>77</v>
      </c>
      <c r="B35" s="3" t="s">
        <v>501</v>
      </c>
      <c r="C35" s="3" t="s">
        <v>0</v>
      </c>
      <c r="D35" s="8" t="s">
        <v>232</v>
      </c>
      <c r="E35" s="8" t="s">
        <v>0</v>
      </c>
      <c r="F35" s="3"/>
      <c r="G35" s="3"/>
      <c r="H35" s="3"/>
      <c r="I35" s="16"/>
      <c r="J35" s="18" t="s">
        <v>0</v>
      </c>
      <c r="K35" s="18" t="s">
        <v>0</v>
      </c>
      <c r="L35" s="18" t="s">
        <v>0</v>
      </c>
      <c r="M35" s="18"/>
    </row>
    <row r="36" ht="20" customHeight="1" spans="1:13">
      <c r="A36" s="3" t="s">
        <v>81</v>
      </c>
      <c r="B36" s="3" t="s">
        <v>502</v>
      </c>
      <c r="C36" s="3" t="s">
        <v>0</v>
      </c>
      <c r="D36" s="8" t="s">
        <v>234</v>
      </c>
      <c r="E36" s="8" t="s">
        <v>0</v>
      </c>
      <c r="F36" s="3"/>
      <c r="G36" s="3"/>
      <c r="H36" s="3"/>
      <c r="I36" s="16"/>
      <c r="J36" s="18" t="s">
        <v>0</v>
      </c>
      <c r="K36" s="18" t="s">
        <v>0</v>
      </c>
      <c r="L36" s="18" t="s">
        <v>0</v>
      </c>
      <c r="M36" s="18"/>
    </row>
    <row r="37" ht="43.8" customHeight="1" spans="1:13">
      <c r="A37" s="3" t="s">
        <v>157</v>
      </c>
      <c r="B37" s="3" t="s">
        <v>503</v>
      </c>
      <c r="C37" s="3" t="s">
        <v>0</v>
      </c>
      <c r="D37" s="8" t="s">
        <v>236</v>
      </c>
      <c r="E37" s="8" t="s">
        <v>0</v>
      </c>
      <c r="F37" s="3" t="s">
        <v>213</v>
      </c>
      <c r="G37" s="15">
        <f t="shared" ref="G37" si="7">$G$27</f>
        <v>0</v>
      </c>
      <c r="H37" s="3"/>
      <c r="I37" s="16">
        <f>ROUND(G37*H37/100,2)*0.95</f>
        <v>0</v>
      </c>
      <c r="J37" s="29"/>
      <c r="K37" s="30"/>
      <c r="L37" s="18"/>
      <c r="M37" s="18"/>
    </row>
    <row r="38" spans="1:13">
      <c r="A38" s="25" t="s">
        <v>142</v>
      </c>
      <c r="B38" s="25"/>
      <c r="C38" s="25"/>
      <c r="D38" s="25"/>
      <c r="E38" s="25"/>
      <c r="F38" s="26"/>
      <c r="G38" s="26"/>
      <c r="H38" s="26"/>
      <c r="I38" s="31">
        <f>SUM(I27:I37)</f>
        <v>0</v>
      </c>
      <c r="J38" s="32"/>
      <c r="K38" s="33"/>
      <c r="L38" s="26"/>
      <c r="M38" s="26"/>
    </row>
    <row r="39" ht="39" customHeight="1" spans="1:13">
      <c r="A39" s="13" t="s">
        <v>237</v>
      </c>
      <c r="B39" s="13" t="s">
        <v>0</v>
      </c>
      <c r="C39" s="13" t="s">
        <v>0</v>
      </c>
      <c r="D39" s="13" t="s">
        <v>0</v>
      </c>
      <c r="E39" s="13" t="s">
        <v>0</v>
      </c>
      <c r="F39" s="13" t="s">
        <v>0</v>
      </c>
      <c r="G39" s="13"/>
      <c r="H39" s="13" t="s">
        <v>0</v>
      </c>
      <c r="I39" s="13" t="s">
        <v>0</v>
      </c>
      <c r="J39" s="13" t="s">
        <v>0</v>
      </c>
      <c r="K39" s="13" t="s">
        <v>0</v>
      </c>
      <c r="L39" s="13" t="s">
        <v>0</v>
      </c>
      <c r="M39" s="13" t="s">
        <v>0</v>
      </c>
    </row>
    <row r="41" ht="20.4" customHeight="1" spans="1:13">
      <c r="A41" s="1" t="s">
        <v>197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9" t="s">
        <v>504</v>
      </c>
      <c r="M41" s="9"/>
    </row>
    <row r="42" spans="1:13">
      <c r="A42" s="20" t="s">
        <v>24</v>
      </c>
      <c r="B42" s="20" t="s">
        <v>0</v>
      </c>
      <c r="C42" s="13" t="s">
        <v>483</v>
      </c>
      <c r="D42" s="13" t="s">
        <v>0</v>
      </c>
      <c r="E42" s="13" t="s">
        <v>0</v>
      </c>
      <c r="F42" s="13" t="s">
        <v>0</v>
      </c>
      <c r="G42" s="13"/>
      <c r="H42" s="13" t="s">
        <v>0</v>
      </c>
      <c r="I42" s="13" t="s">
        <v>0</v>
      </c>
      <c r="J42" s="13" t="s">
        <v>0</v>
      </c>
      <c r="K42" s="13" t="s">
        <v>132</v>
      </c>
      <c r="L42" s="13" t="s">
        <v>0</v>
      </c>
      <c r="M42" s="27"/>
    </row>
    <row r="43" customHeight="1" spans="1:13">
      <c r="A43" s="20" t="s">
        <v>133</v>
      </c>
      <c r="B43" s="20" t="s">
        <v>0</v>
      </c>
      <c r="C43" s="13" t="s">
        <v>505</v>
      </c>
      <c r="D43" s="13" t="s">
        <v>0</v>
      </c>
      <c r="E43" s="13" t="s">
        <v>0</v>
      </c>
      <c r="F43" s="13" t="s">
        <v>0</v>
      </c>
      <c r="G43" s="13"/>
      <c r="H43" s="13" t="s">
        <v>0</v>
      </c>
      <c r="I43" s="13" t="s">
        <v>0</v>
      </c>
      <c r="J43" s="13" t="s">
        <v>0</v>
      </c>
      <c r="K43" s="13" t="s">
        <v>374</v>
      </c>
      <c r="L43" s="13" t="s">
        <v>0</v>
      </c>
      <c r="M43" s="11"/>
    </row>
    <row r="44" spans="1:13">
      <c r="A44" s="20" t="s">
        <v>136</v>
      </c>
      <c r="B44" s="20" t="s">
        <v>0</v>
      </c>
      <c r="C44" s="13" t="s">
        <v>506</v>
      </c>
      <c r="D44" s="13" t="s">
        <v>0</v>
      </c>
      <c r="E44" s="13" t="s">
        <v>0</v>
      </c>
      <c r="F44" s="13" t="s">
        <v>0</v>
      </c>
      <c r="G44" s="13"/>
      <c r="H44" s="13" t="s">
        <v>0</v>
      </c>
      <c r="I44" s="13" t="s">
        <v>0</v>
      </c>
      <c r="J44" s="13" t="s">
        <v>0</v>
      </c>
      <c r="K44" s="28"/>
      <c r="L44" s="28"/>
      <c r="M44" s="11"/>
    </row>
    <row r="45" ht="31.2" customHeight="1" spans="1:13">
      <c r="A45" s="3" t="s">
        <v>48</v>
      </c>
      <c r="B45" s="3" t="s">
        <v>108</v>
      </c>
      <c r="C45" s="3" t="s">
        <v>0</v>
      </c>
      <c r="D45" s="3" t="s">
        <v>109</v>
      </c>
      <c r="E45" s="3" t="s">
        <v>0</v>
      </c>
      <c r="F45" s="3" t="s">
        <v>201</v>
      </c>
      <c r="G45" s="3" t="s">
        <v>202</v>
      </c>
      <c r="H45" s="3" t="s">
        <v>203</v>
      </c>
      <c r="I45" s="3" t="s">
        <v>204</v>
      </c>
      <c r="J45" s="3" t="s">
        <v>205</v>
      </c>
      <c r="K45" s="3" t="s">
        <v>0</v>
      </c>
      <c r="L45" s="3" t="s">
        <v>206</v>
      </c>
      <c r="M45" s="3" t="s">
        <v>207</v>
      </c>
    </row>
    <row r="46" ht="20" customHeight="1" spans="1:13">
      <c r="A46" s="3" t="s">
        <v>53</v>
      </c>
      <c r="B46" s="3" t="s">
        <v>507</v>
      </c>
      <c r="C46" s="3" t="s">
        <v>0</v>
      </c>
      <c r="D46" s="8" t="s">
        <v>209</v>
      </c>
      <c r="E46" s="8" t="s">
        <v>0</v>
      </c>
      <c r="F46" s="3"/>
      <c r="G46" s="3"/>
      <c r="H46" s="3"/>
      <c r="I46" s="3">
        <f>SUM(I47:I50)</f>
        <v>85392.232</v>
      </c>
      <c r="J46" s="18" t="s">
        <v>0</v>
      </c>
      <c r="K46" s="18" t="s">
        <v>0</v>
      </c>
      <c r="L46" s="18" t="s">
        <v>0</v>
      </c>
      <c r="M46" s="18"/>
    </row>
    <row r="47" ht="42" customHeight="1" spans="1:17">
      <c r="A47" s="3" t="s">
        <v>210</v>
      </c>
      <c r="B47" s="3" t="s">
        <v>211</v>
      </c>
      <c r="C47" s="3" t="s">
        <v>0</v>
      </c>
      <c r="D47" s="8" t="s">
        <v>212</v>
      </c>
      <c r="E47" s="8" t="s">
        <v>0</v>
      </c>
      <c r="F47" s="3" t="s">
        <v>213</v>
      </c>
      <c r="G47" s="15">
        <f>Q47</f>
        <v>6420468.42404</v>
      </c>
      <c r="H47" s="3"/>
      <c r="I47" s="16">
        <f>ROUND(G47*H47/100,2)*0.95</f>
        <v>0</v>
      </c>
      <c r="J47" s="18" t="s">
        <v>0</v>
      </c>
      <c r="K47" s="18" t="s">
        <v>0</v>
      </c>
      <c r="L47" s="18" t="s">
        <v>0</v>
      </c>
      <c r="M47" s="18"/>
      <c r="N47">
        <f>'D3-4 分部分项工程量清单综合单价计算表(分页带材料)【现~'!K166</f>
        <v>6262495.78404</v>
      </c>
      <c r="O47">
        <f>'G.1规费、税金项目清单计价表-GP型'!F28</f>
        <v>157972.64</v>
      </c>
      <c r="P47">
        <f>'F1.1暂列金额明细表（GP型）'!D63</f>
        <v>0</v>
      </c>
      <c r="Q47">
        <f>N47+O47+P47</f>
        <v>6420468.42404</v>
      </c>
    </row>
    <row r="48" ht="42" customHeight="1" spans="1:13">
      <c r="A48" s="3" t="s">
        <v>214</v>
      </c>
      <c r="B48" s="3" t="s">
        <v>215</v>
      </c>
      <c r="C48" s="3" t="s">
        <v>0</v>
      </c>
      <c r="D48" s="8" t="s">
        <v>216</v>
      </c>
      <c r="E48" s="8" t="s">
        <v>0</v>
      </c>
      <c r="F48" s="3" t="s">
        <v>213</v>
      </c>
      <c r="G48" s="15">
        <f>$G$47</f>
        <v>6420468.42404</v>
      </c>
      <c r="H48" s="3"/>
      <c r="I48" s="16">
        <f t="shared" ref="I48:I57" si="8">ROUND(G48*H48/100,2)*0.95</f>
        <v>0</v>
      </c>
      <c r="J48" s="18" t="s">
        <v>0</v>
      </c>
      <c r="K48" s="18" t="s">
        <v>0</v>
      </c>
      <c r="L48" s="18" t="s">
        <v>0</v>
      </c>
      <c r="M48" s="18"/>
    </row>
    <row r="49" ht="42" customHeight="1" spans="1:13">
      <c r="A49" s="3" t="s">
        <v>217</v>
      </c>
      <c r="B49" s="3" t="s">
        <v>218</v>
      </c>
      <c r="C49" s="3" t="s">
        <v>0</v>
      </c>
      <c r="D49" s="8" t="s">
        <v>219</v>
      </c>
      <c r="E49" s="8" t="s">
        <v>0</v>
      </c>
      <c r="F49" s="3" t="s">
        <v>213</v>
      </c>
      <c r="G49" s="15">
        <f t="shared" ref="G49:G52" si="9">$G$47</f>
        <v>6420468.42404</v>
      </c>
      <c r="H49" s="16">
        <v>1.4</v>
      </c>
      <c r="I49" s="16">
        <f t="shared" si="8"/>
        <v>85392.232</v>
      </c>
      <c r="J49" s="18" t="s">
        <v>0</v>
      </c>
      <c r="K49" s="18" t="s">
        <v>0</v>
      </c>
      <c r="L49" s="18" t="s">
        <v>0</v>
      </c>
      <c r="M49" s="18"/>
    </row>
    <row r="50" ht="42" customHeight="1" spans="1:13">
      <c r="A50" s="3" t="s">
        <v>220</v>
      </c>
      <c r="B50" s="3" t="s">
        <v>221</v>
      </c>
      <c r="C50" s="3" t="s">
        <v>0</v>
      </c>
      <c r="D50" s="8" t="s">
        <v>222</v>
      </c>
      <c r="E50" s="8" t="s">
        <v>0</v>
      </c>
      <c r="F50" s="3" t="s">
        <v>213</v>
      </c>
      <c r="G50" s="15">
        <f t="shared" si="9"/>
        <v>6420468.42404</v>
      </c>
      <c r="H50" s="3"/>
      <c r="I50" s="16">
        <f t="shared" si="8"/>
        <v>0</v>
      </c>
      <c r="J50" s="18" t="s">
        <v>0</v>
      </c>
      <c r="K50" s="18" t="s">
        <v>0</v>
      </c>
      <c r="L50" s="18" t="s">
        <v>0</v>
      </c>
      <c r="M50" s="18"/>
    </row>
    <row r="51" ht="42" customHeight="1" spans="1:13">
      <c r="A51" s="3" t="s">
        <v>60</v>
      </c>
      <c r="B51" s="3" t="s">
        <v>508</v>
      </c>
      <c r="C51" s="3" t="s">
        <v>0</v>
      </c>
      <c r="D51" s="8" t="s">
        <v>224</v>
      </c>
      <c r="E51" s="8" t="s">
        <v>0</v>
      </c>
      <c r="F51" s="3" t="s">
        <v>213</v>
      </c>
      <c r="G51" s="15">
        <f t="shared" si="9"/>
        <v>6420468.42404</v>
      </c>
      <c r="H51" s="3"/>
      <c r="I51" s="16">
        <f t="shared" si="8"/>
        <v>0</v>
      </c>
      <c r="J51" s="18" t="s">
        <v>0</v>
      </c>
      <c r="K51" s="18" t="s">
        <v>0</v>
      </c>
      <c r="L51" s="18" t="s">
        <v>0</v>
      </c>
      <c r="M51" s="18"/>
    </row>
    <row r="52" ht="42" customHeight="1" spans="1:13">
      <c r="A52" s="3" t="s">
        <v>64</v>
      </c>
      <c r="B52" s="3" t="s">
        <v>509</v>
      </c>
      <c r="C52" s="3" t="s">
        <v>0</v>
      </c>
      <c r="D52" s="8" t="s">
        <v>226</v>
      </c>
      <c r="E52" s="8" t="s">
        <v>0</v>
      </c>
      <c r="F52" s="3" t="s">
        <v>213</v>
      </c>
      <c r="G52" s="15">
        <f t="shared" si="9"/>
        <v>6420468.42404</v>
      </c>
      <c r="H52" s="3"/>
      <c r="I52" s="16">
        <f t="shared" si="8"/>
        <v>0</v>
      </c>
      <c r="J52" s="18" t="s">
        <v>0</v>
      </c>
      <c r="K52" s="18" t="s">
        <v>0</v>
      </c>
      <c r="L52" s="18" t="s">
        <v>0</v>
      </c>
      <c r="M52" s="18"/>
    </row>
    <row r="53" ht="42" customHeight="1" spans="1:13">
      <c r="A53" s="3" t="s">
        <v>74</v>
      </c>
      <c r="B53" s="3" t="s">
        <v>510</v>
      </c>
      <c r="C53" s="3" t="s">
        <v>0</v>
      </c>
      <c r="D53" s="8" t="s">
        <v>228</v>
      </c>
      <c r="E53" s="8" t="s">
        <v>0</v>
      </c>
      <c r="F53" s="3" t="s">
        <v>213</v>
      </c>
      <c r="G53" s="15">
        <f t="shared" ref="G53" si="10">$G$47</f>
        <v>6420468.42404</v>
      </c>
      <c r="H53" s="3"/>
      <c r="I53" s="16">
        <f t="shared" si="8"/>
        <v>0</v>
      </c>
      <c r="J53" s="18" t="s">
        <v>0</v>
      </c>
      <c r="K53" s="18" t="s">
        <v>0</v>
      </c>
      <c r="L53" s="18" t="s">
        <v>0</v>
      </c>
      <c r="M53" s="18"/>
    </row>
    <row r="54" ht="20" customHeight="1" spans="1:13">
      <c r="A54" s="3" t="s">
        <v>75</v>
      </c>
      <c r="B54" s="3" t="s">
        <v>511</v>
      </c>
      <c r="C54" s="3" t="s">
        <v>0</v>
      </c>
      <c r="D54" s="8" t="s">
        <v>230</v>
      </c>
      <c r="E54" s="8" t="s">
        <v>0</v>
      </c>
      <c r="F54" s="3"/>
      <c r="G54" s="3"/>
      <c r="H54" s="3"/>
      <c r="I54" s="16"/>
      <c r="J54" s="18" t="s">
        <v>0</v>
      </c>
      <c r="K54" s="18" t="s">
        <v>0</v>
      </c>
      <c r="L54" s="18" t="s">
        <v>0</v>
      </c>
      <c r="M54" s="18"/>
    </row>
    <row r="55" ht="30" customHeight="1" spans="1:13">
      <c r="A55" s="3" t="s">
        <v>77</v>
      </c>
      <c r="B55" s="3" t="s">
        <v>512</v>
      </c>
      <c r="C55" s="3" t="s">
        <v>0</v>
      </c>
      <c r="D55" s="8" t="s">
        <v>232</v>
      </c>
      <c r="E55" s="8" t="s">
        <v>0</v>
      </c>
      <c r="F55" s="3"/>
      <c r="G55" s="3"/>
      <c r="H55" s="3"/>
      <c r="I55" s="16"/>
      <c r="J55" s="18" t="s">
        <v>0</v>
      </c>
      <c r="K55" s="18" t="s">
        <v>0</v>
      </c>
      <c r="L55" s="18" t="s">
        <v>0</v>
      </c>
      <c r="M55" s="18"/>
    </row>
    <row r="56" ht="20" customHeight="1" spans="1:13">
      <c r="A56" s="3" t="s">
        <v>81</v>
      </c>
      <c r="B56" s="3" t="s">
        <v>513</v>
      </c>
      <c r="C56" s="3" t="s">
        <v>0</v>
      </c>
      <c r="D56" s="8" t="s">
        <v>234</v>
      </c>
      <c r="E56" s="8" t="s">
        <v>0</v>
      </c>
      <c r="F56" s="3"/>
      <c r="G56" s="3"/>
      <c r="H56" s="3"/>
      <c r="I56" s="16"/>
      <c r="J56" s="18" t="s">
        <v>0</v>
      </c>
      <c r="K56" s="18" t="s">
        <v>0</v>
      </c>
      <c r="L56" s="18" t="s">
        <v>0</v>
      </c>
      <c r="M56" s="18"/>
    </row>
    <row r="57" ht="43.8" customHeight="1" spans="1:13">
      <c r="A57" s="3" t="s">
        <v>157</v>
      </c>
      <c r="B57" s="3" t="s">
        <v>514</v>
      </c>
      <c r="C57" s="3" t="s">
        <v>0</v>
      </c>
      <c r="D57" s="8" t="s">
        <v>236</v>
      </c>
      <c r="E57" s="8" t="s">
        <v>0</v>
      </c>
      <c r="F57" s="3" t="s">
        <v>213</v>
      </c>
      <c r="G57" s="15">
        <f t="shared" ref="G57" si="11">$G$47</f>
        <v>6420468.42404</v>
      </c>
      <c r="H57" s="3"/>
      <c r="I57" s="16">
        <f t="shared" si="8"/>
        <v>0</v>
      </c>
      <c r="J57" s="29"/>
      <c r="K57" s="30"/>
      <c r="L57" s="18"/>
      <c r="M57" s="18"/>
    </row>
    <row r="58" spans="1:13">
      <c r="A58" s="25" t="s">
        <v>142</v>
      </c>
      <c r="B58" s="25"/>
      <c r="C58" s="25"/>
      <c r="D58" s="25"/>
      <c r="E58" s="25"/>
      <c r="F58" s="26"/>
      <c r="G58" s="26"/>
      <c r="H58" s="25"/>
      <c r="I58" s="31">
        <f>SUM(I47:I57)</f>
        <v>85392.232</v>
      </c>
      <c r="J58" s="32"/>
      <c r="K58" s="33"/>
      <c r="L58" s="26"/>
      <c r="M58" s="26"/>
    </row>
    <row r="59" ht="31" customHeight="1" spans="1:13">
      <c r="A59" s="13" t="s">
        <v>237</v>
      </c>
      <c r="B59" s="13" t="s">
        <v>0</v>
      </c>
      <c r="C59" s="13" t="s">
        <v>0</v>
      </c>
      <c r="D59" s="13" t="s">
        <v>0</v>
      </c>
      <c r="E59" s="13" t="s">
        <v>0</v>
      </c>
      <c r="F59" s="13" t="s">
        <v>0</v>
      </c>
      <c r="G59" s="13"/>
      <c r="H59" s="13" t="s">
        <v>0</v>
      </c>
      <c r="I59" s="13" t="s">
        <v>0</v>
      </c>
      <c r="J59" s="13" t="s">
        <v>0</v>
      </c>
      <c r="K59" s="13" t="s">
        <v>0</v>
      </c>
      <c r="L59" s="13" t="s">
        <v>0</v>
      </c>
      <c r="M59" s="13" t="s">
        <v>0</v>
      </c>
    </row>
    <row r="61" ht="20.4" customHeight="1" spans="1:13">
      <c r="A61" s="1" t="s">
        <v>197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9" t="s">
        <v>515</v>
      </c>
      <c r="M61" s="9"/>
    </row>
    <row r="62" spans="1:13">
      <c r="A62" s="20" t="s">
        <v>24</v>
      </c>
      <c r="B62" s="20" t="s">
        <v>0</v>
      </c>
      <c r="C62" s="13" t="s">
        <v>483</v>
      </c>
      <c r="D62" s="13" t="s">
        <v>0</v>
      </c>
      <c r="E62" s="13" t="s">
        <v>0</v>
      </c>
      <c r="F62" s="13" t="s">
        <v>0</v>
      </c>
      <c r="G62" s="13"/>
      <c r="H62" s="13" t="s">
        <v>0</v>
      </c>
      <c r="I62" s="13" t="s">
        <v>0</v>
      </c>
      <c r="J62" s="13" t="s">
        <v>0</v>
      </c>
      <c r="K62" s="13" t="s">
        <v>132</v>
      </c>
      <c r="L62" s="13" t="s">
        <v>0</v>
      </c>
      <c r="M62" s="27"/>
    </row>
    <row r="63" customHeight="1" spans="1:13">
      <c r="A63" s="20" t="s">
        <v>133</v>
      </c>
      <c r="B63" s="20" t="s">
        <v>0</v>
      </c>
      <c r="C63" s="13" t="s">
        <v>516</v>
      </c>
      <c r="D63" s="13" t="s">
        <v>0</v>
      </c>
      <c r="E63" s="13" t="s">
        <v>0</v>
      </c>
      <c r="F63" s="13" t="s">
        <v>0</v>
      </c>
      <c r="G63" s="13"/>
      <c r="H63" s="13" t="s">
        <v>0</v>
      </c>
      <c r="I63" s="13" t="s">
        <v>0</v>
      </c>
      <c r="J63" s="13" t="s">
        <v>0</v>
      </c>
      <c r="K63" s="13" t="s">
        <v>386</v>
      </c>
      <c r="L63" s="13" t="s">
        <v>0</v>
      </c>
      <c r="M63" s="11"/>
    </row>
    <row r="64" spans="1:13">
      <c r="A64" s="20" t="s">
        <v>136</v>
      </c>
      <c r="B64" s="20" t="s">
        <v>0</v>
      </c>
      <c r="C64" s="13" t="s">
        <v>517</v>
      </c>
      <c r="D64" s="13" t="s">
        <v>0</v>
      </c>
      <c r="E64" s="13" t="s">
        <v>0</v>
      </c>
      <c r="F64" s="13" t="s">
        <v>0</v>
      </c>
      <c r="G64" s="13"/>
      <c r="H64" s="13" t="s">
        <v>0</v>
      </c>
      <c r="I64" s="13" t="s">
        <v>0</v>
      </c>
      <c r="J64" s="13" t="s">
        <v>0</v>
      </c>
      <c r="K64" s="28"/>
      <c r="L64" s="28"/>
      <c r="M64" s="11"/>
    </row>
    <row r="65" ht="33.6" customHeight="1" spans="1:13">
      <c r="A65" s="3" t="s">
        <v>48</v>
      </c>
      <c r="B65" s="3" t="s">
        <v>108</v>
      </c>
      <c r="C65" s="3" t="s">
        <v>0</v>
      </c>
      <c r="D65" s="3" t="s">
        <v>109</v>
      </c>
      <c r="E65" s="3" t="s">
        <v>0</v>
      </c>
      <c r="F65" s="3" t="s">
        <v>201</v>
      </c>
      <c r="G65" s="3" t="s">
        <v>202</v>
      </c>
      <c r="H65" s="3" t="s">
        <v>203</v>
      </c>
      <c r="I65" s="3" t="s">
        <v>204</v>
      </c>
      <c r="J65" s="3" t="s">
        <v>205</v>
      </c>
      <c r="K65" s="3" t="s">
        <v>0</v>
      </c>
      <c r="L65" s="3" t="s">
        <v>206</v>
      </c>
      <c r="M65" s="3" t="s">
        <v>207</v>
      </c>
    </row>
    <row r="66" ht="20" customHeight="1" spans="1:13">
      <c r="A66" s="3" t="s">
        <v>53</v>
      </c>
      <c r="B66" s="3" t="s">
        <v>518</v>
      </c>
      <c r="C66" s="3" t="s">
        <v>0</v>
      </c>
      <c r="D66" s="8" t="s">
        <v>209</v>
      </c>
      <c r="E66" s="8" t="s">
        <v>0</v>
      </c>
      <c r="F66" s="3" t="s">
        <v>9</v>
      </c>
      <c r="G66" s="3"/>
      <c r="H66" s="3" t="s">
        <v>9</v>
      </c>
      <c r="I66" s="3">
        <f>SUM(I67:I70)</f>
        <v>0</v>
      </c>
      <c r="J66" s="18" t="s">
        <v>0</v>
      </c>
      <c r="K66" s="18" t="s">
        <v>0</v>
      </c>
      <c r="L66" s="18" t="s">
        <v>0</v>
      </c>
      <c r="M66" s="18"/>
    </row>
    <row r="67" ht="42" customHeight="1" spans="1:17">
      <c r="A67" s="3" t="s">
        <v>210</v>
      </c>
      <c r="B67" s="3" t="s">
        <v>211</v>
      </c>
      <c r="C67" s="3" t="s">
        <v>0</v>
      </c>
      <c r="D67" s="8" t="s">
        <v>212</v>
      </c>
      <c r="E67" s="8" t="s">
        <v>0</v>
      </c>
      <c r="F67" s="3" t="s">
        <v>213</v>
      </c>
      <c r="G67" s="15">
        <f>Q67</f>
        <v>0</v>
      </c>
      <c r="H67" s="3"/>
      <c r="I67" s="16">
        <f>ROUND(G67*H67/100,2)*0.95</f>
        <v>0</v>
      </c>
      <c r="J67" s="18" t="s">
        <v>0</v>
      </c>
      <c r="K67" s="18" t="s">
        <v>0</v>
      </c>
      <c r="L67" s="18" t="s">
        <v>0</v>
      </c>
      <c r="M67" s="18"/>
      <c r="N67">
        <f>'D3-4 分部分项工程量清单综合单价计算表(分页带材料)【现~'!K222</f>
        <v>0</v>
      </c>
      <c r="O67">
        <f>'G.1规费、税金项目清单计价表-GP型'!F39</f>
        <v>0</v>
      </c>
      <c r="P67">
        <f>'F1.1暂列金额明细表（GP型）'!D91</f>
        <v>0</v>
      </c>
      <c r="Q67">
        <f>N67+O67+P67</f>
        <v>0</v>
      </c>
    </row>
    <row r="68" ht="42" customHeight="1" spans="1:13">
      <c r="A68" s="3" t="s">
        <v>214</v>
      </c>
      <c r="B68" s="3" t="s">
        <v>215</v>
      </c>
      <c r="C68" s="3" t="s">
        <v>0</v>
      </c>
      <c r="D68" s="8" t="s">
        <v>216</v>
      </c>
      <c r="E68" s="8" t="s">
        <v>0</v>
      </c>
      <c r="F68" s="3" t="s">
        <v>213</v>
      </c>
      <c r="G68" s="15">
        <f>$G$67</f>
        <v>0</v>
      </c>
      <c r="H68" s="3"/>
      <c r="I68" s="16">
        <f t="shared" ref="I68:I77" si="12">ROUND(G68*H68/100,2)*0.95</f>
        <v>0</v>
      </c>
      <c r="J68" s="18" t="s">
        <v>0</v>
      </c>
      <c r="K68" s="18" t="s">
        <v>0</v>
      </c>
      <c r="L68" s="18" t="s">
        <v>0</v>
      </c>
      <c r="M68" s="18"/>
    </row>
    <row r="69" ht="42" customHeight="1" spans="1:13">
      <c r="A69" s="3" t="s">
        <v>217</v>
      </c>
      <c r="B69" s="3" t="s">
        <v>218</v>
      </c>
      <c r="C69" s="3" t="s">
        <v>0</v>
      </c>
      <c r="D69" s="8" t="s">
        <v>219</v>
      </c>
      <c r="E69" s="8" t="s">
        <v>0</v>
      </c>
      <c r="F69" s="3" t="s">
        <v>213</v>
      </c>
      <c r="G69" s="15">
        <f t="shared" ref="G69:G72" si="13">$G$67</f>
        <v>0</v>
      </c>
      <c r="H69" s="16">
        <v>1.4</v>
      </c>
      <c r="I69" s="16">
        <f t="shared" si="12"/>
        <v>0</v>
      </c>
      <c r="J69" s="18" t="s">
        <v>0</v>
      </c>
      <c r="K69" s="18" t="s">
        <v>0</v>
      </c>
      <c r="L69" s="18" t="s">
        <v>0</v>
      </c>
      <c r="M69" s="18"/>
    </row>
    <row r="70" ht="42" customHeight="1" spans="1:13">
      <c r="A70" s="3" t="s">
        <v>220</v>
      </c>
      <c r="B70" s="3" t="s">
        <v>221</v>
      </c>
      <c r="C70" s="3" t="s">
        <v>0</v>
      </c>
      <c r="D70" s="8" t="s">
        <v>222</v>
      </c>
      <c r="E70" s="8" t="s">
        <v>0</v>
      </c>
      <c r="F70" s="3" t="s">
        <v>213</v>
      </c>
      <c r="G70" s="15">
        <f t="shared" si="13"/>
        <v>0</v>
      </c>
      <c r="H70" s="3"/>
      <c r="I70" s="16">
        <f t="shared" si="12"/>
        <v>0</v>
      </c>
      <c r="J70" s="18" t="s">
        <v>0</v>
      </c>
      <c r="K70" s="18" t="s">
        <v>0</v>
      </c>
      <c r="L70" s="18" t="s">
        <v>0</v>
      </c>
      <c r="M70" s="18"/>
    </row>
    <row r="71" ht="42" customHeight="1" spans="1:13">
      <c r="A71" s="3" t="s">
        <v>60</v>
      </c>
      <c r="B71" s="3" t="s">
        <v>519</v>
      </c>
      <c r="C71" s="3" t="s">
        <v>0</v>
      </c>
      <c r="D71" s="8" t="s">
        <v>224</v>
      </c>
      <c r="E71" s="8" t="s">
        <v>0</v>
      </c>
      <c r="F71" s="3" t="s">
        <v>213</v>
      </c>
      <c r="G71" s="15">
        <f t="shared" si="13"/>
        <v>0</v>
      </c>
      <c r="H71" s="3"/>
      <c r="I71" s="16">
        <f t="shared" si="12"/>
        <v>0</v>
      </c>
      <c r="J71" s="18" t="s">
        <v>0</v>
      </c>
      <c r="K71" s="18" t="s">
        <v>0</v>
      </c>
      <c r="L71" s="18" t="s">
        <v>0</v>
      </c>
      <c r="M71" s="18"/>
    </row>
    <row r="72" ht="42" customHeight="1" spans="1:13">
      <c r="A72" s="3" t="s">
        <v>64</v>
      </c>
      <c r="B72" s="3" t="s">
        <v>520</v>
      </c>
      <c r="C72" s="3" t="s">
        <v>0</v>
      </c>
      <c r="D72" s="8" t="s">
        <v>226</v>
      </c>
      <c r="E72" s="8" t="s">
        <v>0</v>
      </c>
      <c r="F72" s="3" t="s">
        <v>213</v>
      </c>
      <c r="G72" s="15">
        <f t="shared" si="13"/>
        <v>0</v>
      </c>
      <c r="H72" s="3"/>
      <c r="I72" s="16">
        <f t="shared" si="12"/>
        <v>0</v>
      </c>
      <c r="J72" s="18" t="s">
        <v>0</v>
      </c>
      <c r="K72" s="18" t="s">
        <v>0</v>
      </c>
      <c r="L72" s="18" t="s">
        <v>0</v>
      </c>
      <c r="M72" s="18"/>
    </row>
    <row r="73" ht="42" customHeight="1" spans="1:13">
      <c r="A73" s="3" t="s">
        <v>74</v>
      </c>
      <c r="B73" s="3" t="s">
        <v>521</v>
      </c>
      <c r="C73" s="3" t="s">
        <v>0</v>
      </c>
      <c r="D73" s="8" t="s">
        <v>228</v>
      </c>
      <c r="E73" s="8" t="s">
        <v>0</v>
      </c>
      <c r="F73" s="3" t="s">
        <v>213</v>
      </c>
      <c r="G73" s="15">
        <f t="shared" ref="G73" si="14">$G$67</f>
        <v>0</v>
      </c>
      <c r="H73" s="3"/>
      <c r="I73" s="16">
        <f t="shared" si="12"/>
        <v>0</v>
      </c>
      <c r="J73" s="18" t="s">
        <v>0</v>
      </c>
      <c r="K73" s="18" t="s">
        <v>0</v>
      </c>
      <c r="L73" s="18" t="s">
        <v>0</v>
      </c>
      <c r="M73" s="18"/>
    </row>
    <row r="74" ht="20" customHeight="1" spans="1:13">
      <c r="A74" s="3" t="s">
        <v>75</v>
      </c>
      <c r="B74" s="3" t="s">
        <v>522</v>
      </c>
      <c r="C74" s="3" t="s">
        <v>0</v>
      </c>
      <c r="D74" s="8" t="s">
        <v>230</v>
      </c>
      <c r="E74" s="8" t="s">
        <v>0</v>
      </c>
      <c r="F74" s="3"/>
      <c r="G74" s="3"/>
      <c r="H74" s="3"/>
      <c r="I74" s="16"/>
      <c r="J74" s="18" t="s">
        <v>0</v>
      </c>
      <c r="K74" s="18" t="s">
        <v>0</v>
      </c>
      <c r="L74" s="18" t="s">
        <v>0</v>
      </c>
      <c r="M74" s="18"/>
    </row>
    <row r="75" ht="30" customHeight="1" spans="1:13">
      <c r="A75" s="3" t="s">
        <v>77</v>
      </c>
      <c r="B75" s="3" t="s">
        <v>523</v>
      </c>
      <c r="C75" s="3" t="s">
        <v>0</v>
      </c>
      <c r="D75" s="8" t="s">
        <v>232</v>
      </c>
      <c r="E75" s="8" t="s">
        <v>0</v>
      </c>
      <c r="F75" s="3"/>
      <c r="G75" s="3"/>
      <c r="H75" s="3"/>
      <c r="I75" s="16"/>
      <c r="J75" s="18" t="s">
        <v>0</v>
      </c>
      <c r="K75" s="18" t="s">
        <v>0</v>
      </c>
      <c r="L75" s="18" t="s">
        <v>0</v>
      </c>
      <c r="M75" s="18"/>
    </row>
    <row r="76" ht="20" customHeight="1" spans="1:13">
      <c r="A76" s="3" t="s">
        <v>81</v>
      </c>
      <c r="B76" s="3" t="s">
        <v>524</v>
      </c>
      <c r="C76" s="3" t="s">
        <v>0</v>
      </c>
      <c r="D76" s="8" t="s">
        <v>234</v>
      </c>
      <c r="E76" s="8" t="s">
        <v>0</v>
      </c>
      <c r="F76" s="3"/>
      <c r="G76" s="3"/>
      <c r="H76" s="3"/>
      <c r="I76" s="16"/>
      <c r="J76" s="18" t="s">
        <v>0</v>
      </c>
      <c r="K76" s="18" t="s">
        <v>0</v>
      </c>
      <c r="L76" s="18" t="s">
        <v>0</v>
      </c>
      <c r="M76" s="18"/>
    </row>
    <row r="77" ht="43.8" customHeight="1" spans="1:13">
      <c r="A77" s="3" t="s">
        <v>157</v>
      </c>
      <c r="B77" s="3" t="s">
        <v>525</v>
      </c>
      <c r="C77" s="3" t="s">
        <v>0</v>
      </c>
      <c r="D77" s="8" t="s">
        <v>236</v>
      </c>
      <c r="E77" s="8" t="s">
        <v>0</v>
      </c>
      <c r="F77" s="3" t="s">
        <v>213</v>
      </c>
      <c r="G77" s="15">
        <f t="shared" ref="G77" si="15">$G$67</f>
        <v>0</v>
      </c>
      <c r="H77" s="3"/>
      <c r="I77" s="16">
        <f t="shared" si="12"/>
        <v>0</v>
      </c>
      <c r="J77" s="29"/>
      <c r="K77" s="30"/>
      <c r="L77" s="18"/>
      <c r="M77" s="18"/>
    </row>
    <row r="78" spans="1:13">
      <c r="A78" s="25" t="s">
        <v>142</v>
      </c>
      <c r="B78" s="25"/>
      <c r="C78" s="25"/>
      <c r="D78" s="25"/>
      <c r="E78" s="25"/>
      <c r="F78" s="26"/>
      <c r="G78" s="26"/>
      <c r="H78" s="25"/>
      <c r="I78" s="31">
        <f>SUM(I67:I77)</f>
        <v>0</v>
      </c>
      <c r="J78" s="32"/>
      <c r="K78" s="33"/>
      <c r="L78" s="26"/>
      <c r="M78" s="26"/>
    </row>
    <row r="79" ht="29" customHeight="1" spans="1:13">
      <c r="A79" s="13" t="s">
        <v>237</v>
      </c>
      <c r="B79" s="13" t="s">
        <v>0</v>
      </c>
      <c r="C79" s="13" t="s">
        <v>0</v>
      </c>
      <c r="D79" s="13" t="s">
        <v>0</v>
      </c>
      <c r="E79" s="13" t="s">
        <v>0</v>
      </c>
      <c r="F79" s="13" t="s">
        <v>0</v>
      </c>
      <c r="G79" s="13"/>
      <c r="H79" s="13" t="s">
        <v>0</v>
      </c>
      <c r="I79" s="13" t="s">
        <v>0</v>
      </c>
      <c r="J79" s="13" t="s">
        <v>0</v>
      </c>
      <c r="K79" s="13" t="s">
        <v>0</v>
      </c>
      <c r="L79" s="13" t="s">
        <v>0</v>
      </c>
      <c r="M79" s="13" t="s">
        <v>0</v>
      </c>
    </row>
    <row r="81" ht="20.4" customHeight="1"/>
    <row r="83" customHeight="1"/>
    <row r="85" ht="30" customHeight="1"/>
    <row r="95" ht="27" customHeight="1"/>
    <row r="99" ht="46.2" customHeight="1"/>
  </sheetData>
  <mergeCells count="208">
    <mergeCell ref="A1:K1"/>
    <mergeCell ref="L1:M1"/>
    <mergeCell ref="A2:B2"/>
    <mergeCell ref="C2:J2"/>
    <mergeCell ref="K2:L2"/>
    <mergeCell ref="A3:B3"/>
    <mergeCell ref="C3:J3"/>
    <mergeCell ref="K3:L3"/>
    <mergeCell ref="A4:B4"/>
    <mergeCell ref="C4:J4"/>
    <mergeCell ref="K4:L4"/>
    <mergeCell ref="B5:C5"/>
    <mergeCell ref="D5:E5"/>
    <mergeCell ref="J5:K5"/>
    <mergeCell ref="B6:C6"/>
    <mergeCell ref="D6:E6"/>
    <mergeCell ref="J6:K6"/>
    <mergeCell ref="B7:C7"/>
    <mergeCell ref="D7:E7"/>
    <mergeCell ref="J7:K7"/>
    <mergeCell ref="B8:C8"/>
    <mergeCell ref="D8:E8"/>
    <mergeCell ref="J8:K8"/>
    <mergeCell ref="B9:C9"/>
    <mergeCell ref="D9:E9"/>
    <mergeCell ref="J9:K9"/>
    <mergeCell ref="B10:C10"/>
    <mergeCell ref="D10:E10"/>
    <mergeCell ref="J10:K10"/>
    <mergeCell ref="B11:C11"/>
    <mergeCell ref="D11:E11"/>
    <mergeCell ref="J11:K11"/>
    <mergeCell ref="B12:C12"/>
    <mergeCell ref="D12:E12"/>
    <mergeCell ref="J12:K12"/>
    <mergeCell ref="B13:C13"/>
    <mergeCell ref="D13:E13"/>
    <mergeCell ref="J13:K13"/>
    <mergeCell ref="B14:C14"/>
    <mergeCell ref="D14:E14"/>
    <mergeCell ref="J14:K14"/>
    <mergeCell ref="B15:C15"/>
    <mergeCell ref="D15:E15"/>
    <mergeCell ref="J15:K15"/>
    <mergeCell ref="B16:C16"/>
    <mergeCell ref="D16:E16"/>
    <mergeCell ref="J16:K16"/>
    <mergeCell ref="B17:C17"/>
    <mergeCell ref="D17:E17"/>
    <mergeCell ref="A18:E18"/>
    <mergeCell ref="J18:K18"/>
    <mergeCell ref="A19:M19"/>
    <mergeCell ref="A21:K21"/>
    <mergeCell ref="L21:M21"/>
    <mergeCell ref="A22:B22"/>
    <mergeCell ref="C22:J22"/>
    <mergeCell ref="K22:L22"/>
    <mergeCell ref="A23:B23"/>
    <mergeCell ref="C23:J23"/>
    <mergeCell ref="K23:L23"/>
    <mergeCell ref="A24:B24"/>
    <mergeCell ref="C24:J24"/>
    <mergeCell ref="K24:L24"/>
    <mergeCell ref="B25:C25"/>
    <mergeCell ref="D25:E25"/>
    <mergeCell ref="J25:K25"/>
    <mergeCell ref="B26:C26"/>
    <mergeCell ref="D26:E26"/>
    <mergeCell ref="J26:K26"/>
    <mergeCell ref="B27:C27"/>
    <mergeCell ref="D27:E27"/>
    <mergeCell ref="J27:K27"/>
    <mergeCell ref="B28:C28"/>
    <mergeCell ref="D28:E28"/>
    <mergeCell ref="J28:K28"/>
    <mergeCell ref="B29:C29"/>
    <mergeCell ref="D29:E29"/>
    <mergeCell ref="J29:K29"/>
    <mergeCell ref="B30:C30"/>
    <mergeCell ref="D30:E30"/>
    <mergeCell ref="J30:K30"/>
    <mergeCell ref="B31:C31"/>
    <mergeCell ref="D31:E31"/>
    <mergeCell ref="J31:K31"/>
    <mergeCell ref="B32:C32"/>
    <mergeCell ref="D32:E32"/>
    <mergeCell ref="J32:K32"/>
    <mergeCell ref="B33:C33"/>
    <mergeCell ref="D33:E33"/>
    <mergeCell ref="J33:K33"/>
    <mergeCell ref="B34:C34"/>
    <mergeCell ref="D34:E34"/>
    <mergeCell ref="J34:K34"/>
    <mergeCell ref="B35:C35"/>
    <mergeCell ref="D35:E35"/>
    <mergeCell ref="J35:K35"/>
    <mergeCell ref="B36:C36"/>
    <mergeCell ref="D36:E36"/>
    <mergeCell ref="J36:K36"/>
    <mergeCell ref="B37:C37"/>
    <mergeCell ref="D37:E37"/>
    <mergeCell ref="A38:E38"/>
    <mergeCell ref="J38:K38"/>
    <mergeCell ref="A39:M39"/>
    <mergeCell ref="A41:K41"/>
    <mergeCell ref="L41:M41"/>
    <mergeCell ref="A42:B42"/>
    <mergeCell ref="C42:J42"/>
    <mergeCell ref="K42:L42"/>
    <mergeCell ref="A43:B43"/>
    <mergeCell ref="C43:J43"/>
    <mergeCell ref="K43:L43"/>
    <mergeCell ref="A44:B44"/>
    <mergeCell ref="C44:J44"/>
    <mergeCell ref="K44:L44"/>
    <mergeCell ref="B45:C45"/>
    <mergeCell ref="D45:E45"/>
    <mergeCell ref="J45:K45"/>
    <mergeCell ref="B46:C46"/>
    <mergeCell ref="D46:E46"/>
    <mergeCell ref="J46:K46"/>
    <mergeCell ref="B47:C47"/>
    <mergeCell ref="D47:E47"/>
    <mergeCell ref="J47:K47"/>
    <mergeCell ref="B48:C48"/>
    <mergeCell ref="D48:E48"/>
    <mergeCell ref="J48:K48"/>
    <mergeCell ref="B49:C49"/>
    <mergeCell ref="D49:E49"/>
    <mergeCell ref="J49:K49"/>
    <mergeCell ref="B50:C50"/>
    <mergeCell ref="D50:E50"/>
    <mergeCell ref="J50:K50"/>
    <mergeCell ref="B51:C51"/>
    <mergeCell ref="D51:E51"/>
    <mergeCell ref="J51:K51"/>
    <mergeCell ref="B52:C52"/>
    <mergeCell ref="D52:E52"/>
    <mergeCell ref="J52:K52"/>
    <mergeCell ref="B53:C53"/>
    <mergeCell ref="D53:E53"/>
    <mergeCell ref="J53:K53"/>
    <mergeCell ref="B54:C54"/>
    <mergeCell ref="D54:E54"/>
    <mergeCell ref="J54:K54"/>
    <mergeCell ref="B55:C55"/>
    <mergeCell ref="D55:E55"/>
    <mergeCell ref="J55:K55"/>
    <mergeCell ref="B56:C56"/>
    <mergeCell ref="D56:E56"/>
    <mergeCell ref="J56:K56"/>
    <mergeCell ref="B57:C57"/>
    <mergeCell ref="D57:E57"/>
    <mergeCell ref="A58:E58"/>
    <mergeCell ref="J58:K58"/>
    <mergeCell ref="A59:M59"/>
    <mergeCell ref="A61:K61"/>
    <mergeCell ref="L61:M61"/>
    <mergeCell ref="A62:B62"/>
    <mergeCell ref="C62:J62"/>
    <mergeCell ref="K62:L62"/>
    <mergeCell ref="A63:B63"/>
    <mergeCell ref="C63:J63"/>
    <mergeCell ref="K63:L63"/>
    <mergeCell ref="A64:B64"/>
    <mergeCell ref="C64:J64"/>
    <mergeCell ref="K64:L64"/>
    <mergeCell ref="B65:C65"/>
    <mergeCell ref="D65:E65"/>
    <mergeCell ref="J65:K65"/>
    <mergeCell ref="B66:C66"/>
    <mergeCell ref="D66:E66"/>
    <mergeCell ref="J66:K66"/>
    <mergeCell ref="B67:C67"/>
    <mergeCell ref="D67:E67"/>
    <mergeCell ref="J67:K67"/>
    <mergeCell ref="B68:C68"/>
    <mergeCell ref="D68:E68"/>
    <mergeCell ref="J68:K68"/>
    <mergeCell ref="B69:C69"/>
    <mergeCell ref="D69:E69"/>
    <mergeCell ref="J69:K69"/>
    <mergeCell ref="B70:C70"/>
    <mergeCell ref="D70:E70"/>
    <mergeCell ref="J70:K70"/>
    <mergeCell ref="B71:C71"/>
    <mergeCell ref="D71:E71"/>
    <mergeCell ref="J71:K71"/>
    <mergeCell ref="B72:C72"/>
    <mergeCell ref="D72:E72"/>
    <mergeCell ref="J72:K72"/>
    <mergeCell ref="B73:C73"/>
    <mergeCell ref="D73:E73"/>
    <mergeCell ref="J73:K73"/>
    <mergeCell ref="B74:C74"/>
    <mergeCell ref="D74:E74"/>
    <mergeCell ref="J74:K74"/>
    <mergeCell ref="B75:C75"/>
    <mergeCell ref="D75:E75"/>
    <mergeCell ref="J75:K75"/>
    <mergeCell ref="B76:C76"/>
    <mergeCell ref="D76:E76"/>
    <mergeCell ref="J76:K76"/>
    <mergeCell ref="B77:C77"/>
    <mergeCell ref="D77:E77"/>
    <mergeCell ref="A78:E78"/>
    <mergeCell ref="J78:K78"/>
    <mergeCell ref="A79:M79"/>
  </mergeCells>
  <pageMargins left="1.14166666666667" right="0.7" top="0.75" bottom="0.75" header="0.3" footer="0.3"/>
  <pageSetup paperSize="9" scale="87" orientation="landscape"/>
  <headerFooter/>
  <rowBreaks count="2" manualBreakCount="2">
    <brk id="39" max="16383" man="1"/>
    <brk id="59" max="16383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F24"/>
  <sheetViews>
    <sheetView view="pageBreakPreview" zoomScaleNormal="100" workbookViewId="0">
      <selection activeCell="I21" sqref="I21"/>
    </sheetView>
  </sheetViews>
  <sheetFormatPr defaultColWidth="9" defaultRowHeight="14.4" outlineLevelCol="5"/>
  <cols>
    <col min="2" max="2" width="33.3333333333333" customWidth="1"/>
    <col min="3" max="3" width="11.4444444444444" customWidth="1"/>
    <col min="4" max="4" width="13.212962962963" customWidth="1"/>
    <col min="6" max="6" width="20.212962962963" customWidth="1"/>
    <col min="7" max="7" width="11.7777777777778"/>
  </cols>
  <sheetData>
    <row r="1" ht="20.4" spans="1:6">
      <c r="A1" s="1" t="s">
        <v>238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</row>
    <row r="2" spans="1:6">
      <c r="A2" s="19"/>
      <c r="B2" s="19"/>
      <c r="C2" s="19"/>
      <c r="D2" s="19"/>
      <c r="E2" s="19"/>
      <c r="F2" s="11" t="s">
        <v>47</v>
      </c>
    </row>
    <row r="3" spans="1:6">
      <c r="A3" s="12" t="s">
        <v>24</v>
      </c>
      <c r="B3" s="13" t="s">
        <v>483</v>
      </c>
      <c r="C3" s="13"/>
      <c r="D3" s="13"/>
      <c r="E3" s="13"/>
      <c r="F3" s="24" t="s">
        <v>526</v>
      </c>
    </row>
    <row r="4" spans="1:6">
      <c r="A4" s="3" t="s">
        <v>32</v>
      </c>
      <c r="B4" s="3" t="s">
        <v>239</v>
      </c>
      <c r="C4" s="3" t="s">
        <v>50</v>
      </c>
      <c r="D4" s="3" t="s">
        <v>240</v>
      </c>
      <c r="E4" s="3" t="s">
        <v>207</v>
      </c>
      <c r="F4" s="3" t="s">
        <v>0</v>
      </c>
    </row>
    <row r="5" spans="1:6">
      <c r="A5" s="3" t="s">
        <v>53</v>
      </c>
      <c r="B5" s="8" t="s">
        <v>241</v>
      </c>
      <c r="C5">
        <f>'F1.1暂列金额明细表（GP型）'!D7+'F1.1暂列金额明细表（GP型）'!D35+'F1.1暂列金额明细表（GP型）'!D63+'F1.1暂列金额明细表（GP型）'!D91</f>
        <v>0</v>
      </c>
      <c r="D5" s="18" t="s">
        <v>0</v>
      </c>
      <c r="E5" s="3"/>
      <c r="F5" s="3"/>
    </row>
    <row r="6" spans="1:6">
      <c r="A6" s="3" t="s">
        <v>60</v>
      </c>
      <c r="B6" s="8" t="s">
        <v>242</v>
      </c>
      <c r="C6" s="18"/>
      <c r="D6" s="18" t="s">
        <v>0</v>
      </c>
      <c r="E6" s="3"/>
      <c r="F6" s="3"/>
    </row>
    <row r="7" spans="1:6">
      <c r="A7" s="3" t="s">
        <v>62</v>
      </c>
      <c r="B7" s="8" t="s">
        <v>243</v>
      </c>
      <c r="C7" s="3" t="s">
        <v>43</v>
      </c>
      <c r="D7" s="18" t="s">
        <v>0</v>
      </c>
      <c r="E7" s="3"/>
      <c r="F7" s="3"/>
    </row>
    <row r="8" spans="1:6">
      <c r="A8" s="3" t="s">
        <v>244</v>
      </c>
      <c r="B8" s="8" t="s">
        <v>245</v>
      </c>
      <c r="C8" s="18"/>
      <c r="D8" s="18" t="s">
        <v>0</v>
      </c>
      <c r="E8" s="3"/>
      <c r="F8" s="3"/>
    </row>
    <row r="9" spans="1:6">
      <c r="A9" s="3" t="s">
        <v>64</v>
      </c>
      <c r="B9" s="8" t="s">
        <v>246</v>
      </c>
      <c r="C9" s="18"/>
      <c r="D9" s="18" t="s">
        <v>0</v>
      </c>
      <c r="E9" s="3"/>
      <c r="F9" s="3"/>
    </row>
    <row r="10" spans="1:6">
      <c r="A10" s="3" t="s">
        <v>74</v>
      </c>
      <c r="B10" s="8" t="s">
        <v>247</v>
      </c>
      <c r="C10" s="18"/>
      <c r="D10" s="18" t="s">
        <v>0</v>
      </c>
      <c r="E10" s="3"/>
      <c r="F10" s="3"/>
    </row>
    <row r="11" spans="1:6">
      <c r="A11" s="3" t="s">
        <v>0</v>
      </c>
      <c r="B11" s="8" t="s">
        <v>0</v>
      </c>
      <c r="C11" s="18" t="s">
        <v>0</v>
      </c>
      <c r="D11" s="18" t="s">
        <v>0</v>
      </c>
      <c r="E11" s="3" t="s">
        <v>0</v>
      </c>
      <c r="F11" s="3" t="s">
        <v>0</v>
      </c>
    </row>
    <row r="12" spans="1:6">
      <c r="A12" s="3" t="s">
        <v>0</v>
      </c>
      <c r="B12" s="8" t="s">
        <v>0</v>
      </c>
      <c r="C12" s="18" t="s">
        <v>0</v>
      </c>
      <c r="D12" s="18" t="s">
        <v>0</v>
      </c>
      <c r="E12" s="3" t="s">
        <v>0</v>
      </c>
      <c r="F12" s="3" t="s">
        <v>0</v>
      </c>
    </row>
    <row r="13" spans="1:6">
      <c r="A13" s="3" t="s">
        <v>0</v>
      </c>
      <c r="B13" s="8" t="s">
        <v>0</v>
      </c>
      <c r="C13" s="18" t="s">
        <v>0</v>
      </c>
      <c r="D13" s="18" t="s">
        <v>0</v>
      </c>
      <c r="E13" s="3" t="s">
        <v>0</v>
      </c>
      <c r="F13" s="3" t="s">
        <v>0</v>
      </c>
    </row>
    <row r="14" spans="1:6">
      <c r="A14" s="3" t="s">
        <v>0</v>
      </c>
      <c r="B14" s="8" t="s">
        <v>0</v>
      </c>
      <c r="C14" s="18" t="s">
        <v>0</v>
      </c>
      <c r="D14" s="18" t="s">
        <v>0</v>
      </c>
      <c r="E14" s="3" t="s">
        <v>0</v>
      </c>
      <c r="F14" s="3" t="s">
        <v>0</v>
      </c>
    </row>
    <row r="15" spans="1:6">
      <c r="A15" s="3" t="s">
        <v>0</v>
      </c>
      <c r="B15" s="8" t="s">
        <v>0</v>
      </c>
      <c r="C15" s="18" t="s">
        <v>0</v>
      </c>
      <c r="D15" s="18" t="s">
        <v>0</v>
      </c>
      <c r="E15" s="3" t="s">
        <v>0</v>
      </c>
      <c r="F15" s="3" t="s">
        <v>0</v>
      </c>
    </row>
    <row r="16" spans="1:6">
      <c r="A16" s="3" t="s">
        <v>0</v>
      </c>
      <c r="B16" s="8" t="s">
        <v>0</v>
      </c>
      <c r="C16" s="18" t="s">
        <v>0</v>
      </c>
      <c r="D16" s="18" t="s">
        <v>0</v>
      </c>
      <c r="E16" s="3" t="s">
        <v>0</v>
      </c>
      <c r="F16" s="3" t="s">
        <v>0</v>
      </c>
    </row>
    <row r="17" spans="1:6">
      <c r="A17" s="3" t="s">
        <v>0</v>
      </c>
      <c r="B17" s="8" t="s">
        <v>0</v>
      </c>
      <c r="C17" s="18" t="s">
        <v>0</v>
      </c>
      <c r="D17" s="18" t="s">
        <v>0</v>
      </c>
      <c r="E17" s="3" t="s">
        <v>0</v>
      </c>
      <c r="F17" s="3" t="s">
        <v>0</v>
      </c>
    </row>
    <row r="18" spans="1:6">
      <c r="A18" s="3" t="s">
        <v>0</v>
      </c>
      <c r="B18" s="8" t="s">
        <v>0</v>
      </c>
      <c r="C18" s="18" t="s">
        <v>0</v>
      </c>
      <c r="D18" s="18" t="s">
        <v>0</v>
      </c>
      <c r="E18" s="3" t="s">
        <v>0</v>
      </c>
      <c r="F18" s="3" t="s">
        <v>0</v>
      </c>
    </row>
    <row r="19" spans="1:6">
      <c r="A19" s="3" t="s">
        <v>0</v>
      </c>
      <c r="B19" s="8" t="s">
        <v>0</v>
      </c>
      <c r="C19" s="18" t="s">
        <v>0</v>
      </c>
      <c r="D19" s="18" t="s">
        <v>0</v>
      </c>
      <c r="E19" s="3" t="s">
        <v>0</v>
      </c>
      <c r="F19" s="3" t="s">
        <v>0</v>
      </c>
    </row>
    <row r="20" spans="1:6">
      <c r="A20" s="3" t="s">
        <v>0</v>
      </c>
      <c r="B20" s="8" t="s">
        <v>0</v>
      </c>
      <c r="C20" s="18" t="s">
        <v>0</v>
      </c>
      <c r="D20" s="18" t="s">
        <v>0</v>
      </c>
      <c r="E20" s="3" t="s">
        <v>0</v>
      </c>
      <c r="F20" s="3" t="s">
        <v>0</v>
      </c>
    </row>
    <row r="21" spans="1:6">
      <c r="A21" s="3" t="s">
        <v>0</v>
      </c>
      <c r="B21" s="8" t="s">
        <v>0</v>
      </c>
      <c r="C21" s="18" t="s">
        <v>0</v>
      </c>
      <c r="D21" s="18" t="s">
        <v>0</v>
      </c>
      <c r="E21" s="3" t="s">
        <v>0</v>
      </c>
      <c r="F21" s="3" t="s">
        <v>0</v>
      </c>
    </row>
    <row r="22" spans="1:6">
      <c r="A22" s="3" t="s">
        <v>0</v>
      </c>
      <c r="B22" s="8" t="s">
        <v>0</v>
      </c>
      <c r="C22" s="18" t="s">
        <v>0</v>
      </c>
      <c r="D22" s="18" t="s">
        <v>0</v>
      </c>
      <c r="E22" s="3" t="s">
        <v>0</v>
      </c>
      <c r="F22" s="3" t="s">
        <v>0</v>
      </c>
    </row>
    <row r="23" spans="1:6">
      <c r="A23" s="3" t="s">
        <v>0</v>
      </c>
      <c r="B23" s="8" t="s">
        <v>0</v>
      </c>
      <c r="C23" s="18" t="s">
        <v>0</v>
      </c>
      <c r="D23" s="18" t="s">
        <v>0</v>
      </c>
      <c r="E23" s="3" t="s">
        <v>0</v>
      </c>
      <c r="F23" s="3" t="s">
        <v>0</v>
      </c>
    </row>
    <row r="24" spans="1:6">
      <c r="A24" s="3" t="s">
        <v>128</v>
      </c>
      <c r="B24" s="3" t="s">
        <v>0</v>
      </c>
      <c r="C24" s="3">
        <f>SUM(C5:C23)</f>
        <v>0</v>
      </c>
      <c r="D24" s="3" t="s">
        <v>0</v>
      </c>
      <c r="E24" s="3" t="s">
        <v>43</v>
      </c>
      <c r="F24" s="3" t="s">
        <v>0</v>
      </c>
    </row>
  </sheetData>
  <mergeCells count="25">
    <mergeCell ref="A1:F1"/>
    <mergeCell ref="C2:E2"/>
    <mergeCell ref="B3:E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A24:B24"/>
    <mergeCell ref="E24:F24"/>
  </mergeCells>
  <pageMargins left="1.10208333333333" right="0.7" top="0.75" bottom="0.75" header="0.3" footer="0.3"/>
  <pageSetup paperSize="9" scale="130" orientation="landscape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E112"/>
  <sheetViews>
    <sheetView view="pageBreakPreview" zoomScaleNormal="100" workbookViewId="0">
      <selection activeCell="B4" sqref="B4:D4"/>
    </sheetView>
  </sheetViews>
  <sheetFormatPr defaultColWidth="9" defaultRowHeight="14.4" outlineLevelCol="4"/>
  <cols>
    <col min="1" max="1" width="13.3333333333333" customWidth="1"/>
    <col min="2" max="3" width="21.7777777777778" customWidth="1"/>
    <col min="4" max="4" width="22.4444444444444" customWidth="1"/>
    <col min="5" max="5" width="21.7777777777778" customWidth="1"/>
  </cols>
  <sheetData>
    <row r="1" ht="21.6" customHeight="1" spans="1:5">
      <c r="A1" s="10" t="s">
        <v>248</v>
      </c>
      <c r="B1" s="10" t="s">
        <v>0</v>
      </c>
      <c r="C1" s="10" t="s">
        <v>0</v>
      </c>
      <c r="D1" s="10" t="s">
        <v>0</v>
      </c>
      <c r="E1" s="10" t="s">
        <v>0</v>
      </c>
    </row>
    <row r="2" spans="1:5">
      <c r="A2" s="19"/>
      <c r="B2" s="19"/>
      <c r="C2" s="19"/>
      <c r="D2" s="19"/>
      <c r="E2" s="11" t="s">
        <v>99</v>
      </c>
    </row>
    <row r="3" spans="1:5">
      <c r="A3" s="20" t="s">
        <v>24</v>
      </c>
      <c r="B3" s="13" t="s">
        <v>483</v>
      </c>
      <c r="C3" s="13"/>
      <c r="D3" s="13"/>
      <c r="E3" s="12" t="s">
        <v>132</v>
      </c>
    </row>
    <row r="4" spans="1:5">
      <c r="A4" s="20" t="s">
        <v>133</v>
      </c>
      <c r="B4" s="13" t="s">
        <v>527</v>
      </c>
      <c r="C4" s="13"/>
      <c r="D4" s="13"/>
      <c r="E4" s="13" t="s">
        <v>349</v>
      </c>
    </row>
    <row r="5" spans="1:5">
      <c r="A5" s="20" t="s">
        <v>136</v>
      </c>
      <c r="B5" s="14" t="s">
        <v>528</v>
      </c>
      <c r="C5" s="14"/>
      <c r="D5" s="14"/>
      <c r="E5" s="21"/>
    </row>
    <row r="6" spans="1:5">
      <c r="A6" s="3" t="s">
        <v>32</v>
      </c>
      <c r="B6" s="3" t="s">
        <v>109</v>
      </c>
      <c r="C6" s="3" t="s">
        <v>250</v>
      </c>
      <c r="D6" s="3" t="s">
        <v>251</v>
      </c>
      <c r="E6" s="3" t="s">
        <v>207</v>
      </c>
    </row>
    <row r="7" spans="1:5">
      <c r="A7" s="3" t="s">
        <v>53</v>
      </c>
      <c r="B7" s="8" t="s">
        <v>241</v>
      </c>
      <c r="C7" s="3" t="s">
        <v>252</v>
      </c>
      <c r="D7" s="16">
        <f>ROUND('D1-1 分部分项工程量清单计价表【现有林改培‖GP】'!L6*0.1,2)*0</f>
        <v>0</v>
      </c>
      <c r="E7" s="8" t="s">
        <v>9</v>
      </c>
    </row>
    <row r="8" spans="1:5">
      <c r="A8" s="3" t="s">
        <v>0</v>
      </c>
      <c r="B8" s="8" t="s">
        <v>0</v>
      </c>
      <c r="C8" s="3" t="s">
        <v>0</v>
      </c>
      <c r="D8" s="18" t="s">
        <v>0</v>
      </c>
      <c r="E8" s="8" t="s">
        <v>0</v>
      </c>
    </row>
    <row r="9" spans="1:5">
      <c r="A9" s="3" t="s">
        <v>0</v>
      </c>
      <c r="B9" s="8" t="s">
        <v>0</v>
      </c>
      <c r="C9" s="3" t="s">
        <v>0</v>
      </c>
      <c r="D9" s="18" t="s">
        <v>0</v>
      </c>
      <c r="E9" s="8" t="s">
        <v>0</v>
      </c>
    </row>
    <row r="10" spans="1:5">
      <c r="A10" s="3" t="s">
        <v>0</v>
      </c>
      <c r="B10" s="8" t="s">
        <v>0</v>
      </c>
      <c r="C10" s="3" t="s">
        <v>0</v>
      </c>
      <c r="D10" s="18" t="s">
        <v>0</v>
      </c>
      <c r="E10" s="8" t="s">
        <v>0</v>
      </c>
    </row>
    <row r="11" spans="1:5">
      <c r="A11" s="3" t="s">
        <v>0</v>
      </c>
      <c r="B11" s="8" t="s">
        <v>0</v>
      </c>
      <c r="C11" s="3" t="s">
        <v>0</v>
      </c>
      <c r="D11" s="18" t="s">
        <v>0</v>
      </c>
      <c r="E11" s="8" t="s">
        <v>0</v>
      </c>
    </row>
    <row r="12" spans="1:5">
      <c r="A12" s="3" t="s">
        <v>0</v>
      </c>
      <c r="B12" s="8" t="s">
        <v>0</v>
      </c>
      <c r="C12" s="3" t="s">
        <v>0</v>
      </c>
      <c r="D12" s="18" t="s">
        <v>0</v>
      </c>
      <c r="E12" s="8" t="s">
        <v>0</v>
      </c>
    </row>
    <row r="13" spans="1:5">
      <c r="A13" s="3" t="s">
        <v>0</v>
      </c>
      <c r="B13" s="8" t="s">
        <v>0</v>
      </c>
      <c r="C13" s="3" t="s">
        <v>0</v>
      </c>
      <c r="D13" s="18" t="s">
        <v>0</v>
      </c>
      <c r="E13" s="8" t="s">
        <v>0</v>
      </c>
    </row>
    <row r="14" spans="1:5">
      <c r="A14" s="3" t="s">
        <v>0</v>
      </c>
      <c r="B14" s="8" t="s">
        <v>0</v>
      </c>
      <c r="C14" s="3" t="s">
        <v>0</v>
      </c>
      <c r="D14" s="18" t="s">
        <v>0</v>
      </c>
      <c r="E14" s="8" t="s">
        <v>0</v>
      </c>
    </row>
    <row r="15" spans="1:5">
      <c r="A15" s="3" t="s">
        <v>0</v>
      </c>
      <c r="B15" s="8" t="s">
        <v>0</v>
      </c>
      <c r="C15" s="3" t="s">
        <v>0</v>
      </c>
      <c r="D15" s="18" t="s">
        <v>0</v>
      </c>
      <c r="E15" s="8" t="s">
        <v>0</v>
      </c>
    </row>
    <row r="16" spans="1:5">
      <c r="A16" s="3" t="s">
        <v>0</v>
      </c>
      <c r="B16" s="8" t="s">
        <v>0</v>
      </c>
      <c r="C16" s="3" t="s">
        <v>0</v>
      </c>
      <c r="D16" s="18" t="s">
        <v>0</v>
      </c>
      <c r="E16" s="8" t="s">
        <v>0</v>
      </c>
    </row>
    <row r="17" spans="1:5">
      <c r="A17" s="3" t="s">
        <v>0</v>
      </c>
      <c r="B17" s="8" t="s">
        <v>0</v>
      </c>
      <c r="C17" s="3" t="s">
        <v>0</v>
      </c>
      <c r="D17" s="18" t="s">
        <v>0</v>
      </c>
      <c r="E17" s="8" t="s">
        <v>0</v>
      </c>
    </row>
    <row r="18" spans="1:5">
      <c r="A18" s="3" t="s">
        <v>0</v>
      </c>
      <c r="B18" s="8" t="s">
        <v>0</v>
      </c>
      <c r="C18" s="3" t="s">
        <v>0</v>
      </c>
      <c r="D18" s="18" t="s">
        <v>0</v>
      </c>
      <c r="E18" s="8" t="s">
        <v>0</v>
      </c>
    </row>
    <row r="19" spans="1:5">
      <c r="A19" s="3" t="s">
        <v>0</v>
      </c>
      <c r="B19" s="8" t="s">
        <v>0</v>
      </c>
      <c r="C19" s="3" t="s">
        <v>0</v>
      </c>
      <c r="D19" s="18" t="s">
        <v>0</v>
      </c>
      <c r="E19" s="8" t="s">
        <v>0</v>
      </c>
    </row>
    <row r="20" spans="1:5">
      <c r="A20" s="3" t="s">
        <v>0</v>
      </c>
      <c r="B20" s="8" t="s">
        <v>0</v>
      </c>
      <c r="C20" s="3" t="s">
        <v>0</v>
      </c>
      <c r="D20" s="18" t="s">
        <v>0</v>
      </c>
      <c r="E20" s="8" t="s">
        <v>0</v>
      </c>
    </row>
    <row r="21" spans="1:5">
      <c r="A21" s="3" t="s">
        <v>0</v>
      </c>
      <c r="B21" s="8" t="s">
        <v>0</v>
      </c>
      <c r="C21" s="3" t="s">
        <v>0</v>
      </c>
      <c r="D21" s="18" t="s">
        <v>0</v>
      </c>
      <c r="E21" s="8" t="s">
        <v>0</v>
      </c>
    </row>
    <row r="22" spans="1:5">
      <c r="A22" s="3" t="s">
        <v>0</v>
      </c>
      <c r="B22" s="8" t="s">
        <v>0</v>
      </c>
      <c r="C22" s="3" t="s">
        <v>0</v>
      </c>
      <c r="D22" s="18" t="s">
        <v>0</v>
      </c>
      <c r="E22" s="8" t="s">
        <v>0</v>
      </c>
    </row>
    <row r="23" spans="1:5">
      <c r="A23" s="3" t="s">
        <v>0</v>
      </c>
      <c r="B23" s="8" t="s">
        <v>0</v>
      </c>
      <c r="C23" s="3" t="s">
        <v>0</v>
      </c>
      <c r="D23" s="18" t="s">
        <v>0</v>
      </c>
      <c r="E23" s="8" t="s">
        <v>0</v>
      </c>
    </row>
    <row r="24" spans="1:5">
      <c r="A24" s="3" t="s">
        <v>0</v>
      </c>
      <c r="B24" s="8" t="s">
        <v>0</v>
      </c>
      <c r="C24" s="3" t="s">
        <v>0</v>
      </c>
      <c r="D24" s="18" t="s">
        <v>0</v>
      </c>
      <c r="E24" s="8" t="s">
        <v>0</v>
      </c>
    </row>
    <row r="25" spans="1:5">
      <c r="A25" s="3" t="s">
        <v>0</v>
      </c>
      <c r="B25" s="8" t="s">
        <v>0</v>
      </c>
      <c r="C25" s="3" t="s">
        <v>0</v>
      </c>
      <c r="D25" s="18" t="s">
        <v>0</v>
      </c>
      <c r="E25" s="8" t="s">
        <v>0</v>
      </c>
    </row>
    <row r="26" spans="1:5">
      <c r="A26" s="3" t="s">
        <v>128</v>
      </c>
      <c r="B26" s="3" t="s">
        <v>0</v>
      </c>
      <c r="C26" s="3" t="s">
        <v>0</v>
      </c>
      <c r="D26" s="3">
        <f>SUM(D7:D25)</f>
        <v>0</v>
      </c>
      <c r="E26" s="3" t="s">
        <v>43</v>
      </c>
    </row>
    <row r="27" spans="1:5">
      <c r="A27" s="22"/>
      <c r="B27" s="22"/>
      <c r="C27" s="22"/>
      <c r="D27" s="22"/>
      <c r="E27" s="22"/>
    </row>
    <row r="28" spans="1:5">
      <c r="A28" s="23" t="s">
        <v>253</v>
      </c>
      <c r="B28" s="23" t="s">
        <v>0</v>
      </c>
      <c r="C28" s="23" t="s">
        <v>0</v>
      </c>
      <c r="D28" s="23" t="s">
        <v>0</v>
      </c>
      <c r="E28" s="23" t="s">
        <v>0</v>
      </c>
    </row>
    <row r="29" ht="20.4" spans="1:5">
      <c r="A29" s="10" t="s">
        <v>248</v>
      </c>
      <c r="B29" s="10" t="s">
        <v>0</v>
      </c>
      <c r="C29" s="10" t="s">
        <v>0</v>
      </c>
      <c r="D29" s="10" t="s">
        <v>0</v>
      </c>
      <c r="E29" s="10" t="s">
        <v>0</v>
      </c>
    </row>
    <row r="30" spans="1:5">
      <c r="A30" s="19"/>
      <c r="B30" s="19"/>
      <c r="C30" s="19"/>
      <c r="D30" s="19"/>
      <c r="E30" s="11" t="s">
        <v>101</v>
      </c>
    </row>
    <row r="31" spans="1:5">
      <c r="A31" s="20" t="s">
        <v>24</v>
      </c>
      <c r="B31" s="13" t="s">
        <v>529</v>
      </c>
      <c r="C31" s="13"/>
      <c r="D31" s="13"/>
      <c r="E31" s="12" t="s">
        <v>132</v>
      </c>
    </row>
    <row r="32" spans="1:5">
      <c r="A32" s="20" t="s">
        <v>133</v>
      </c>
      <c r="B32" s="13" t="s">
        <v>530</v>
      </c>
      <c r="C32" s="13"/>
      <c r="D32" s="13"/>
      <c r="E32" s="13" t="s">
        <v>362</v>
      </c>
    </row>
    <row r="33" spans="1:5">
      <c r="A33" s="20" t="s">
        <v>136</v>
      </c>
      <c r="B33" s="14" t="s">
        <v>531</v>
      </c>
      <c r="C33" s="14"/>
      <c r="D33" s="14"/>
      <c r="E33" s="21"/>
    </row>
    <row r="34" spans="1:5">
      <c r="A34" s="3" t="s">
        <v>32</v>
      </c>
      <c r="B34" s="3" t="s">
        <v>109</v>
      </c>
      <c r="C34" s="3" t="s">
        <v>250</v>
      </c>
      <c r="D34" s="3" t="s">
        <v>251</v>
      </c>
      <c r="E34" s="3" t="s">
        <v>207</v>
      </c>
    </row>
    <row r="35" spans="1:5">
      <c r="A35" s="3" t="s">
        <v>53</v>
      </c>
      <c r="B35" s="8" t="s">
        <v>241</v>
      </c>
      <c r="C35" s="3" t="s">
        <v>252</v>
      </c>
      <c r="D35" s="16">
        <f>ROUND('D1-1 分部分项工程量清单计价表【现有林改培‖GP】'!L7*0.1,2)*0</f>
        <v>0</v>
      </c>
      <c r="E35" s="8" t="s">
        <v>9</v>
      </c>
    </row>
    <row r="36" spans="1:5">
      <c r="A36" s="3" t="s">
        <v>0</v>
      </c>
      <c r="B36" s="8" t="s">
        <v>0</v>
      </c>
      <c r="C36" s="3" t="s">
        <v>0</v>
      </c>
      <c r="D36" s="18" t="s">
        <v>0</v>
      </c>
      <c r="E36" s="8" t="s">
        <v>0</v>
      </c>
    </row>
    <row r="37" spans="1:5">
      <c r="A37" s="3" t="s">
        <v>0</v>
      </c>
      <c r="B37" s="8" t="s">
        <v>0</v>
      </c>
      <c r="C37" s="3" t="s">
        <v>0</v>
      </c>
      <c r="D37" s="18" t="s">
        <v>0</v>
      </c>
      <c r="E37" s="8" t="s">
        <v>0</v>
      </c>
    </row>
    <row r="38" spans="1:5">
      <c r="A38" s="3" t="s">
        <v>0</v>
      </c>
      <c r="B38" s="8" t="s">
        <v>0</v>
      </c>
      <c r="C38" s="3" t="s">
        <v>0</v>
      </c>
      <c r="D38" s="18" t="s">
        <v>0</v>
      </c>
      <c r="E38" s="8" t="s">
        <v>0</v>
      </c>
    </row>
    <row r="39" spans="1:5">
      <c r="A39" s="3" t="s">
        <v>0</v>
      </c>
      <c r="B39" s="8" t="s">
        <v>0</v>
      </c>
      <c r="C39" s="3" t="s">
        <v>0</v>
      </c>
      <c r="D39" s="18" t="s">
        <v>0</v>
      </c>
      <c r="E39" s="8" t="s">
        <v>0</v>
      </c>
    </row>
    <row r="40" spans="1:5">
      <c r="A40" s="3" t="s">
        <v>0</v>
      </c>
      <c r="B40" s="8" t="s">
        <v>0</v>
      </c>
      <c r="C40" s="3" t="s">
        <v>0</v>
      </c>
      <c r="D40" s="18" t="s">
        <v>0</v>
      </c>
      <c r="E40" s="8" t="s">
        <v>0</v>
      </c>
    </row>
    <row r="41" spans="1:5">
      <c r="A41" s="3" t="s">
        <v>0</v>
      </c>
      <c r="B41" s="8" t="s">
        <v>0</v>
      </c>
      <c r="C41" s="3" t="s">
        <v>0</v>
      </c>
      <c r="D41" s="18" t="s">
        <v>0</v>
      </c>
      <c r="E41" s="8" t="s">
        <v>0</v>
      </c>
    </row>
    <row r="42" spans="1:5">
      <c r="A42" s="3" t="s">
        <v>0</v>
      </c>
      <c r="B42" s="8" t="s">
        <v>0</v>
      </c>
      <c r="C42" s="3" t="s">
        <v>0</v>
      </c>
      <c r="D42" s="18" t="s">
        <v>0</v>
      </c>
      <c r="E42" s="8" t="s">
        <v>0</v>
      </c>
    </row>
    <row r="43" spans="1:5">
      <c r="A43" s="3" t="s">
        <v>0</v>
      </c>
      <c r="B43" s="8" t="s">
        <v>0</v>
      </c>
      <c r="C43" s="3" t="s">
        <v>0</v>
      </c>
      <c r="D43" s="18" t="s">
        <v>0</v>
      </c>
      <c r="E43" s="8" t="s">
        <v>0</v>
      </c>
    </row>
    <row r="44" spans="1:5">
      <c r="A44" s="3" t="s">
        <v>0</v>
      </c>
      <c r="B44" s="8" t="s">
        <v>0</v>
      </c>
      <c r="C44" s="3" t="s">
        <v>0</v>
      </c>
      <c r="D44" s="18" t="s">
        <v>0</v>
      </c>
      <c r="E44" s="8" t="s">
        <v>0</v>
      </c>
    </row>
    <row r="45" spans="1:5">
      <c r="A45" s="3" t="s">
        <v>0</v>
      </c>
      <c r="B45" s="8" t="s">
        <v>0</v>
      </c>
      <c r="C45" s="3" t="s">
        <v>0</v>
      </c>
      <c r="D45" s="18" t="s">
        <v>0</v>
      </c>
      <c r="E45" s="8" t="s">
        <v>0</v>
      </c>
    </row>
    <row r="46" spans="1:5">
      <c r="A46" s="3" t="s">
        <v>0</v>
      </c>
      <c r="B46" s="8" t="s">
        <v>0</v>
      </c>
      <c r="C46" s="3" t="s">
        <v>0</v>
      </c>
      <c r="D46" s="18" t="s">
        <v>0</v>
      </c>
      <c r="E46" s="8" t="s">
        <v>0</v>
      </c>
    </row>
    <row r="47" spans="1:5">
      <c r="A47" s="3" t="s">
        <v>0</v>
      </c>
      <c r="B47" s="8" t="s">
        <v>0</v>
      </c>
      <c r="C47" s="3" t="s">
        <v>0</v>
      </c>
      <c r="D47" s="18" t="s">
        <v>0</v>
      </c>
      <c r="E47" s="8" t="s">
        <v>0</v>
      </c>
    </row>
    <row r="48" spans="1:5">
      <c r="A48" s="3" t="s">
        <v>0</v>
      </c>
      <c r="B48" s="8" t="s">
        <v>0</v>
      </c>
      <c r="C48" s="3" t="s">
        <v>0</v>
      </c>
      <c r="D48" s="18" t="s">
        <v>0</v>
      </c>
      <c r="E48" s="8" t="s">
        <v>0</v>
      </c>
    </row>
    <row r="49" spans="1:5">
      <c r="A49" s="3" t="s">
        <v>0</v>
      </c>
      <c r="B49" s="8" t="s">
        <v>0</v>
      </c>
      <c r="C49" s="3" t="s">
        <v>0</v>
      </c>
      <c r="D49" s="18" t="s">
        <v>0</v>
      </c>
      <c r="E49" s="8" t="s">
        <v>0</v>
      </c>
    </row>
    <row r="50" spans="1:5">
      <c r="A50" s="3" t="s">
        <v>0</v>
      </c>
      <c r="B50" s="8" t="s">
        <v>0</v>
      </c>
      <c r="C50" s="3" t="s">
        <v>0</v>
      </c>
      <c r="D50" s="18" t="s">
        <v>0</v>
      </c>
      <c r="E50" s="8" t="s">
        <v>0</v>
      </c>
    </row>
    <row r="51" spans="1:5">
      <c r="A51" s="3" t="s">
        <v>0</v>
      </c>
      <c r="B51" s="8" t="s">
        <v>0</v>
      </c>
      <c r="C51" s="3" t="s">
        <v>0</v>
      </c>
      <c r="D51" s="18" t="s">
        <v>0</v>
      </c>
      <c r="E51" s="8" t="s">
        <v>0</v>
      </c>
    </row>
    <row r="52" spans="1:5">
      <c r="A52" s="3" t="s">
        <v>0</v>
      </c>
      <c r="B52" s="8" t="s">
        <v>0</v>
      </c>
      <c r="C52" s="3" t="s">
        <v>0</v>
      </c>
      <c r="D52" s="18" t="s">
        <v>0</v>
      </c>
      <c r="E52" s="8" t="s">
        <v>0</v>
      </c>
    </row>
    <row r="53" spans="1:5">
      <c r="A53" s="3" t="s">
        <v>0</v>
      </c>
      <c r="B53" s="8" t="s">
        <v>0</v>
      </c>
      <c r="C53" s="3" t="s">
        <v>0</v>
      </c>
      <c r="D53" s="18" t="s">
        <v>0</v>
      </c>
      <c r="E53" s="8" t="s">
        <v>0</v>
      </c>
    </row>
    <row r="54" spans="1:5">
      <c r="A54" s="3" t="s">
        <v>128</v>
      </c>
      <c r="B54" s="3" t="s">
        <v>0</v>
      </c>
      <c r="C54" s="3" t="s">
        <v>0</v>
      </c>
      <c r="D54" s="3">
        <f>SUM(D35:D53)</f>
        <v>0</v>
      </c>
      <c r="E54" s="3" t="s">
        <v>43</v>
      </c>
    </row>
    <row r="55" spans="1:5">
      <c r="A55" s="22"/>
      <c r="B55" s="22"/>
      <c r="C55" s="22"/>
      <c r="D55" s="22"/>
      <c r="E55" s="22"/>
    </row>
    <row r="56" spans="1:5">
      <c r="A56" s="23" t="s">
        <v>253</v>
      </c>
      <c r="B56" s="23" t="s">
        <v>0</v>
      </c>
      <c r="C56" s="23" t="s">
        <v>0</v>
      </c>
      <c r="D56" s="23" t="s">
        <v>0</v>
      </c>
      <c r="E56" s="23" t="s">
        <v>0</v>
      </c>
    </row>
    <row r="57" ht="20.4" spans="1:5">
      <c r="A57" s="10" t="s">
        <v>248</v>
      </c>
      <c r="B57" s="10" t="s">
        <v>0</v>
      </c>
      <c r="C57" s="10" t="s">
        <v>0</v>
      </c>
      <c r="D57" s="10" t="s">
        <v>0</v>
      </c>
      <c r="E57" s="10" t="s">
        <v>0</v>
      </c>
    </row>
    <row r="58" spans="1:5">
      <c r="A58" s="19"/>
      <c r="B58" s="19"/>
      <c r="C58" s="19"/>
      <c r="D58" s="19"/>
      <c r="E58" s="11" t="s">
        <v>103</v>
      </c>
    </row>
    <row r="59" spans="1:5">
      <c r="A59" s="20" t="s">
        <v>24</v>
      </c>
      <c r="B59" s="13" t="s">
        <v>529</v>
      </c>
      <c r="C59" s="13"/>
      <c r="D59" s="13"/>
      <c r="E59" s="12" t="s">
        <v>132</v>
      </c>
    </row>
    <row r="60" spans="1:5">
      <c r="A60" s="20" t="s">
        <v>133</v>
      </c>
      <c r="B60" s="13" t="s">
        <v>421</v>
      </c>
      <c r="C60" s="13"/>
      <c r="D60" s="13"/>
      <c r="E60" s="13" t="s">
        <v>374</v>
      </c>
    </row>
    <row r="61" spans="1:5">
      <c r="A61" s="20" t="s">
        <v>136</v>
      </c>
      <c r="B61" s="14" t="s">
        <v>532</v>
      </c>
      <c r="C61" s="14"/>
      <c r="D61" s="14"/>
      <c r="E61" s="21"/>
    </row>
    <row r="62" spans="1:5">
      <c r="A62" s="3" t="s">
        <v>32</v>
      </c>
      <c r="B62" s="3" t="s">
        <v>109</v>
      </c>
      <c r="C62" s="3" t="s">
        <v>250</v>
      </c>
      <c r="D62" s="3" t="s">
        <v>251</v>
      </c>
      <c r="E62" s="3" t="s">
        <v>207</v>
      </c>
    </row>
    <row r="63" spans="1:5">
      <c r="A63" s="3" t="s">
        <v>53</v>
      </c>
      <c r="B63" s="8" t="s">
        <v>241</v>
      </c>
      <c r="C63" s="3" t="s">
        <v>252</v>
      </c>
      <c r="D63" s="16">
        <f>ROUND('D1-1 分部分项工程量清单计价表【现有林改培‖GP】'!L8*0.1,2)*0</f>
        <v>0</v>
      </c>
      <c r="E63" s="8" t="s">
        <v>9</v>
      </c>
    </row>
    <row r="64" spans="1:5">
      <c r="A64" s="3" t="s">
        <v>0</v>
      </c>
      <c r="B64" s="8" t="s">
        <v>0</v>
      </c>
      <c r="C64" s="3" t="s">
        <v>0</v>
      </c>
      <c r="D64" s="18" t="s">
        <v>0</v>
      </c>
      <c r="E64" s="8" t="s">
        <v>0</v>
      </c>
    </row>
    <row r="65" spans="1:5">
      <c r="A65" s="3" t="s">
        <v>0</v>
      </c>
      <c r="B65" s="8" t="s">
        <v>0</v>
      </c>
      <c r="C65" s="3" t="s">
        <v>0</v>
      </c>
      <c r="D65" s="18" t="s">
        <v>0</v>
      </c>
      <c r="E65" s="8" t="s">
        <v>0</v>
      </c>
    </row>
    <row r="66" spans="1:5">
      <c r="A66" s="3" t="s">
        <v>0</v>
      </c>
      <c r="B66" s="8" t="s">
        <v>0</v>
      </c>
      <c r="C66" s="3" t="s">
        <v>0</v>
      </c>
      <c r="D66" s="18" t="s">
        <v>0</v>
      </c>
      <c r="E66" s="8" t="s">
        <v>0</v>
      </c>
    </row>
    <row r="67" spans="1:5">
      <c r="A67" s="3" t="s">
        <v>0</v>
      </c>
      <c r="B67" s="8" t="s">
        <v>0</v>
      </c>
      <c r="C67" s="3" t="s">
        <v>0</v>
      </c>
      <c r="D67" s="18" t="s">
        <v>0</v>
      </c>
      <c r="E67" s="8" t="s">
        <v>0</v>
      </c>
    </row>
    <row r="68" spans="1:5">
      <c r="A68" s="3" t="s">
        <v>0</v>
      </c>
      <c r="B68" s="8" t="s">
        <v>0</v>
      </c>
      <c r="C68" s="3" t="s">
        <v>0</v>
      </c>
      <c r="D68" s="18" t="s">
        <v>0</v>
      </c>
      <c r="E68" s="8" t="s">
        <v>0</v>
      </c>
    </row>
    <row r="69" spans="1:5">
      <c r="A69" s="3" t="s">
        <v>0</v>
      </c>
      <c r="B69" s="8" t="s">
        <v>0</v>
      </c>
      <c r="C69" s="3" t="s">
        <v>0</v>
      </c>
      <c r="D69" s="18" t="s">
        <v>0</v>
      </c>
      <c r="E69" s="8" t="s">
        <v>0</v>
      </c>
    </row>
    <row r="70" spans="1:5">
      <c r="A70" s="3" t="s">
        <v>0</v>
      </c>
      <c r="B70" s="8" t="s">
        <v>0</v>
      </c>
      <c r="C70" s="3" t="s">
        <v>0</v>
      </c>
      <c r="D70" s="18" t="s">
        <v>0</v>
      </c>
      <c r="E70" s="8" t="s">
        <v>0</v>
      </c>
    </row>
    <row r="71" spans="1:5">
      <c r="A71" s="3" t="s">
        <v>0</v>
      </c>
      <c r="B71" s="8" t="s">
        <v>0</v>
      </c>
      <c r="C71" s="3" t="s">
        <v>0</v>
      </c>
      <c r="D71" s="18" t="s">
        <v>0</v>
      </c>
      <c r="E71" s="8" t="s">
        <v>0</v>
      </c>
    </row>
    <row r="72" spans="1:5">
      <c r="A72" s="3" t="s">
        <v>0</v>
      </c>
      <c r="B72" s="8" t="s">
        <v>0</v>
      </c>
      <c r="C72" s="3" t="s">
        <v>0</v>
      </c>
      <c r="D72" s="18" t="s">
        <v>0</v>
      </c>
      <c r="E72" s="8" t="s">
        <v>0</v>
      </c>
    </row>
    <row r="73" spans="1:5">
      <c r="A73" s="3" t="s">
        <v>0</v>
      </c>
      <c r="B73" s="8" t="s">
        <v>0</v>
      </c>
      <c r="C73" s="3" t="s">
        <v>0</v>
      </c>
      <c r="D73" s="18" t="s">
        <v>0</v>
      </c>
      <c r="E73" s="8" t="s">
        <v>0</v>
      </c>
    </row>
    <row r="74" spans="1:5">
      <c r="A74" s="3" t="s">
        <v>0</v>
      </c>
      <c r="B74" s="8" t="s">
        <v>0</v>
      </c>
      <c r="C74" s="3" t="s">
        <v>0</v>
      </c>
      <c r="D74" s="18" t="s">
        <v>0</v>
      </c>
      <c r="E74" s="8" t="s">
        <v>0</v>
      </c>
    </row>
    <row r="75" spans="1:5">
      <c r="A75" s="3" t="s">
        <v>0</v>
      </c>
      <c r="B75" s="8" t="s">
        <v>0</v>
      </c>
      <c r="C75" s="3" t="s">
        <v>0</v>
      </c>
      <c r="D75" s="18" t="s">
        <v>0</v>
      </c>
      <c r="E75" s="8" t="s">
        <v>0</v>
      </c>
    </row>
    <row r="76" spans="1:5">
      <c r="A76" s="3" t="s">
        <v>0</v>
      </c>
      <c r="B76" s="8" t="s">
        <v>0</v>
      </c>
      <c r="C76" s="3" t="s">
        <v>0</v>
      </c>
      <c r="D76" s="18" t="s">
        <v>0</v>
      </c>
      <c r="E76" s="8" t="s">
        <v>0</v>
      </c>
    </row>
    <row r="77" spans="1:5">
      <c r="A77" s="3" t="s">
        <v>0</v>
      </c>
      <c r="B77" s="8" t="s">
        <v>0</v>
      </c>
      <c r="C77" s="3" t="s">
        <v>0</v>
      </c>
      <c r="D77" s="18" t="s">
        <v>0</v>
      </c>
      <c r="E77" s="8" t="s">
        <v>0</v>
      </c>
    </row>
    <row r="78" spans="1:5">
      <c r="A78" s="3" t="s">
        <v>0</v>
      </c>
      <c r="B78" s="8" t="s">
        <v>0</v>
      </c>
      <c r="C78" s="3" t="s">
        <v>0</v>
      </c>
      <c r="D78" s="18" t="s">
        <v>0</v>
      </c>
      <c r="E78" s="8" t="s">
        <v>0</v>
      </c>
    </row>
    <row r="79" spans="1:5">
      <c r="A79" s="3" t="s">
        <v>0</v>
      </c>
      <c r="B79" s="8" t="s">
        <v>0</v>
      </c>
      <c r="C79" s="3" t="s">
        <v>0</v>
      </c>
      <c r="D79" s="18" t="s">
        <v>0</v>
      </c>
      <c r="E79" s="8" t="s">
        <v>0</v>
      </c>
    </row>
    <row r="80" spans="1:5">
      <c r="A80" s="3" t="s">
        <v>0</v>
      </c>
      <c r="B80" s="8" t="s">
        <v>0</v>
      </c>
      <c r="C80" s="3" t="s">
        <v>0</v>
      </c>
      <c r="D80" s="18" t="s">
        <v>0</v>
      </c>
      <c r="E80" s="8" t="s">
        <v>0</v>
      </c>
    </row>
    <row r="81" spans="1:5">
      <c r="A81" s="3" t="s">
        <v>0</v>
      </c>
      <c r="B81" s="8" t="s">
        <v>0</v>
      </c>
      <c r="C81" s="3" t="s">
        <v>0</v>
      </c>
      <c r="D81" s="18" t="s">
        <v>0</v>
      </c>
      <c r="E81" s="8" t="s">
        <v>0</v>
      </c>
    </row>
    <row r="82" spans="1:5">
      <c r="A82" s="3" t="s">
        <v>128</v>
      </c>
      <c r="B82" s="3" t="s">
        <v>0</v>
      </c>
      <c r="C82" s="3" t="s">
        <v>0</v>
      </c>
      <c r="D82" s="3">
        <f>SUM(D63:D81)</f>
        <v>0</v>
      </c>
      <c r="E82" s="3" t="s">
        <v>43</v>
      </c>
    </row>
    <row r="83" spans="1:5">
      <c r="A83" s="22"/>
      <c r="B83" s="22"/>
      <c r="C83" s="22"/>
      <c r="D83" s="22"/>
      <c r="E83" s="22"/>
    </row>
    <row r="84" spans="1:5">
      <c r="A84" s="23" t="s">
        <v>253</v>
      </c>
      <c r="B84" s="23" t="s">
        <v>0</v>
      </c>
      <c r="C84" s="23" t="s">
        <v>0</v>
      </c>
      <c r="D84" s="23" t="s">
        <v>0</v>
      </c>
      <c r="E84" s="23" t="s">
        <v>0</v>
      </c>
    </row>
    <row r="85" ht="20.4" spans="1:5">
      <c r="A85" s="10" t="s">
        <v>248</v>
      </c>
      <c r="B85" s="10" t="s">
        <v>0</v>
      </c>
      <c r="C85" s="10" t="s">
        <v>0</v>
      </c>
      <c r="D85" s="10" t="s">
        <v>0</v>
      </c>
      <c r="E85" s="10" t="s">
        <v>0</v>
      </c>
    </row>
    <row r="86" spans="1:5">
      <c r="A86" s="19"/>
      <c r="B86" s="19"/>
      <c r="C86" s="19"/>
      <c r="D86" s="19"/>
      <c r="E86" s="11" t="s">
        <v>105</v>
      </c>
    </row>
    <row r="87" spans="1:5">
      <c r="A87" s="20" t="s">
        <v>24</v>
      </c>
      <c r="B87" s="13" t="s">
        <v>529</v>
      </c>
      <c r="C87" s="13"/>
      <c r="D87" s="13"/>
      <c r="E87" s="12" t="s">
        <v>132</v>
      </c>
    </row>
    <row r="88" spans="1:5">
      <c r="A88" s="20" t="s">
        <v>133</v>
      </c>
      <c r="B88" s="13" t="s">
        <v>126</v>
      </c>
      <c r="C88" s="13"/>
      <c r="D88" s="13"/>
      <c r="E88" s="13" t="s">
        <v>386</v>
      </c>
    </row>
    <row r="89" spans="1:5">
      <c r="A89" s="20" t="s">
        <v>136</v>
      </c>
      <c r="B89" s="14" t="s">
        <v>533</v>
      </c>
      <c r="C89" s="14"/>
      <c r="D89" s="14"/>
      <c r="E89" s="21"/>
    </row>
    <row r="90" spans="1:5">
      <c r="A90" s="3" t="s">
        <v>32</v>
      </c>
      <c r="B90" s="3" t="s">
        <v>109</v>
      </c>
      <c r="C90" s="3" t="s">
        <v>250</v>
      </c>
      <c r="D90" s="3" t="s">
        <v>251</v>
      </c>
      <c r="E90" s="3" t="s">
        <v>207</v>
      </c>
    </row>
    <row r="91" spans="1:5">
      <c r="A91" s="3" t="s">
        <v>53</v>
      </c>
      <c r="B91" s="8" t="s">
        <v>241</v>
      </c>
      <c r="C91" s="3" t="s">
        <v>252</v>
      </c>
      <c r="D91" s="16">
        <f>ROUND('D1-1 分部分项工程量清单计价表【现有林改培‖GP】'!L9*0.1,2)*0</f>
        <v>0</v>
      </c>
      <c r="E91" s="8" t="s">
        <v>9</v>
      </c>
    </row>
    <row r="92" spans="1:5">
      <c r="A92" s="3" t="s">
        <v>0</v>
      </c>
      <c r="B92" s="8" t="s">
        <v>0</v>
      </c>
      <c r="C92" s="3" t="s">
        <v>0</v>
      </c>
      <c r="D92" s="18" t="s">
        <v>0</v>
      </c>
      <c r="E92" s="8" t="s">
        <v>0</v>
      </c>
    </row>
    <row r="93" spans="1:5">
      <c r="A93" s="3" t="s">
        <v>0</v>
      </c>
      <c r="B93" s="8" t="s">
        <v>0</v>
      </c>
      <c r="C93" s="3" t="s">
        <v>0</v>
      </c>
      <c r="D93" s="18" t="s">
        <v>0</v>
      </c>
      <c r="E93" s="8" t="s">
        <v>0</v>
      </c>
    </row>
    <row r="94" spans="1:5">
      <c r="A94" s="3" t="s">
        <v>0</v>
      </c>
      <c r="B94" s="8" t="s">
        <v>0</v>
      </c>
      <c r="C94" s="3" t="s">
        <v>0</v>
      </c>
      <c r="D94" s="18" t="s">
        <v>0</v>
      </c>
      <c r="E94" s="8" t="s">
        <v>0</v>
      </c>
    </row>
    <row r="95" spans="1:5">
      <c r="A95" s="3" t="s">
        <v>0</v>
      </c>
      <c r="B95" s="8" t="s">
        <v>0</v>
      </c>
      <c r="C95" s="3" t="s">
        <v>0</v>
      </c>
      <c r="D95" s="18" t="s">
        <v>0</v>
      </c>
      <c r="E95" s="8" t="s">
        <v>0</v>
      </c>
    </row>
    <row r="96" spans="1:5">
      <c r="A96" s="3" t="s">
        <v>0</v>
      </c>
      <c r="B96" s="8" t="s">
        <v>0</v>
      </c>
      <c r="C96" s="3" t="s">
        <v>0</v>
      </c>
      <c r="D96" s="18" t="s">
        <v>0</v>
      </c>
      <c r="E96" s="8" t="s">
        <v>0</v>
      </c>
    </row>
    <row r="97" spans="1:5">
      <c r="A97" s="3" t="s">
        <v>0</v>
      </c>
      <c r="B97" s="8" t="s">
        <v>0</v>
      </c>
      <c r="C97" s="3" t="s">
        <v>0</v>
      </c>
      <c r="D97" s="18" t="s">
        <v>0</v>
      </c>
      <c r="E97" s="8" t="s">
        <v>0</v>
      </c>
    </row>
    <row r="98" spans="1:5">
      <c r="A98" s="3" t="s">
        <v>0</v>
      </c>
      <c r="B98" s="8" t="s">
        <v>0</v>
      </c>
      <c r="C98" s="3" t="s">
        <v>0</v>
      </c>
      <c r="D98" s="18" t="s">
        <v>0</v>
      </c>
      <c r="E98" s="8" t="s">
        <v>0</v>
      </c>
    </row>
    <row r="99" spans="1:5">
      <c r="A99" s="3" t="s">
        <v>0</v>
      </c>
      <c r="B99" s="8" t="s">
        <v>0</v>
      </c>
      <c r="C99" s="3" t="s">
        <v>0</v>
      </c>
      <c r="D99" s="18" t="s">
        <v>0</v>
      </c>
      <c r="E99" s="8" t="s">
        <v>0</v>
      </c>
    </row>
    <row r="100" spans="1:5">
      <c r="A100" s="3" t="s">
        <v>0</v>
      </c>
      <c r="B100" s="8" t="s">
        <v>0</v>
      </c>
      <c r="C100" s="3" t="s">
        <v>0</v>
      </c>
      <c r="D100" s="18" t="s">
        <v>0</v>
      </c>
      <c r="E100" s="8" t="s">
        <v>0</v>
      </c>
    </row>
    <row r="101" spans="1:5">
      <c r="A101" s="3" t="s">
        <v>0</v>
      </c>
      <c r="B101" s="8" t="s">
        <v>0</v>
      </c>
      <c r="C101" s="3" t="s">
        <v>0</v>
      </c>
      <c r="D101" s="18" t="s">
        <v>0</v>
      </c>
      <c r="E101" s="8" t="s">
        <v>0</v>
      </c>
    </row>
    <row r="102" spans="1:5">
      <c r="A102" s="3" t="s">
        <v>0</v>
      </c>
      <c r="B102" s="8" t="s">
        <v>0</v>
      </c>
      <c r="C102" s="3" t="s">
        <v>0</v>
      </c>
      <c r="D102" s="18" t="s">
        <v>0</v>
      </c>
      <c r="E102" s="8" t="s">
        <v>0</v>
      </c>
    </row>
    <row r="103" spans="1:5">
      <c r="A103" s="3" t="s">
        <v>0</v>
      </c>
      <c r="B103" s="8" t="s">
        <v>0</v>
      </c>
      <c r="C103" s="3" t="s">
        <v>0</v>
      </c>
      <c r="D103" s="18" t="s">
        <v>0</v>
      </c>
      <c r="E103" s="8" t="s">
        <v>0</v>
      </c>
    </row>
    <row r="104" spans="1:5">
      <c r="A104" s="3" t="s">
        <v>0</v>
      </c>
      <c r="B104" s="8" t="s">
        <v>0</v>
      </c>
      <c r="C104" s="3" t="s">
        <v>0</v>
      </c>
      <c r="D104" s="18" t="s">
        <v>0</v>
      </c>
      <c r="E104" s="8" t="s">
        <v>0</v>
      </c>
    </row>
    <row r="105" spans="1:5">
      <c r="A105" s="3" t="s">
        <v>0</v>
      </c>
      <c r="B105" s="8" t="s">
        <v>0</v>
      </c>
      <c r="C105" s="3" t="s">
        <v>0</v>
      </c>
      <c r="D105" s="18" t="s">
        <v>0</v>
      </c>
      <c r="E105" s="8" t="s">
        <v>0</v>
      </c>
    </row>
    <row r="106" spans="1:5">
      <c r="A106" s="3" t="s">
        <v>0</v>
      </c>
      <c r="B106" s="8" t="s">
        <v>0</v>
      </c>
      <c r="C106" s="3" t="s">
        <v>0</v>
      </c>
      <c r="D106" s="18" t="s">
        <v>0</v>
      </c>
      <c r="E106" s="8" t="s">
        <v>0</v>
      </c>
    </row>
    <row r="107" spans="1:5">
      <c r="A107" s="3" t="s">
        <v>0</v>
      </c>
      <c r="B107" s="8" t="s">
        <v>0</v>
      </c>
      <c r="C107" s="3" t="s">
        <v>0</v>
      </c>
      <c r="D107" s="18" t="s">
        <v>0</v>
      </c>
      <c r="E107" s="8" t="s">
        <v>0</v>
      </c>
    </row>
    <row r="108" spans="1:5">
      <c r="A108" s="3" t="s">
        <v>0</v>
      </c>
      <c r="B108" s="8" t="s">
        <v>0</v>
      </c>
      <c r="C108" s="3" t="s">
        <v>0</v>
      </c>
      <c r="D108" s="18" t="s">
        <v>0</v>
      </c>
      <c r="E108" s="8" t="s">
        <v>0</v>
      </c>
    </row>
    <row r="109" spans="1:5">
      <c r="A109" s="3" t="s">
        <v>0</v>
      </c>
      <c r="B109" s="8" t="s">
        <v>0</v>
      </c>
      <c r="C109" s="3" t="s">
        <v>0</v>
      </c>
      <c r="D109" s="18" t="s">
        <v>0</v>
      </c>
      <c r="E109" s="8" t="s">
        <v>0</v>
      </c>
    </row>
    <row r="110" spans="1:5">
      <c r="A110" s="3" t="s">
        <v>128</v>
      </c>
      <c r="B110" s="3" t="s">
        <v>0</v>
      </c>
      <c r="C110" s="3" t="s">
        <v>0</v>
      </c>
      <c r="D110" s="3">
        <f>SUM(D91:D109)</f>
        <v>0</v>
      </c>
      <c r="E110" s="3" t="s">
        <v>43</v>
      </c>
    </row>
    <row r="111" spans="1:5">
      <c r="A111" s="22"/>
      <c r="B111" s="22"/>
      <c r="C111" s="22"/>
      <c r="D111" s="22"/>
      <c r="E111" s="22"/>
    </row>
    <row r="112" spans="1:5">
      <c r="A112" s="23" t="s">
        <v>253</v>
      </c>
      <c r="B112" s="23" t="s">
        <v>0</v>
      </c>
      <c r="C112" s="23" t="s">
        <v>0</v>
      </c>
      <c r="D112" s="23" t="s">
        <v>0</v>
      </c>
      <c r="E112" s="23" t="s">
        <v>0</v>
      </c>
    </row>
  </sheetData>
  <mergeCells count="28">
    <mergeCell ref="A1:E1"/>
    <mergeCell ref="C2:D2"/>
    <mergeCell ref="B3:D3"/>
    <mergeCell ref="B4:D4"/>
    <mergeCell ref="B5:D5"/>
    <mergeCell ref="A26:C26"/>
    <mergeCell ref="A28:E28"/>
    <mergeCell ref="A29:E29"/>
    <mergeCell ref="C30:D30"/>
    <mergeCell ref="B31:D31"/>
    <mergeCell ref="B32:D32"/>
    <mergeCell ref="B33:D33"/>
    <mergeCell ref="A54:C54"/>
    <mergeCell ref="A56:E56"/>
    <mergeCell ref="A57:E57"/>
    <mergeCell ref="C58:D58"/>
    <mergeCell ref="B59:D59"/>
    <mergeCell ref="B60:D60"/>
    <mergeCell ref="B61:D61"/>
    <mergeCell ref="A82:C82"/>
    <mergeCell ref="A84:E84"/>
    <mergeCell ref="A85:E85"/>
    <mergeCell ref="C86:D86"/>
    <mergeCell ref="B87:D87"/>
    <mergeCell ref="B88:D88"/>
    <mergeCell ref="B89:D89"/>
    <mergeCell ref="A110:C110"/>
    <mergeCell ref="A112:E112"/>
  </mergeCells>
  <pageMargins left="1.37777777777778" right="0.7" top="0.75" bottom="0.75" header="0.3" footer="0.3"/>
  <pageSetup paperSize="9" scale="115" orientation="landscape"/>
  <headerFooter/>
  <rowBreaks count="3" manualBreakCount="3">
    <brk id="28" max="16383" man="1"/>
    <brk id="56" max="16383" man="1"/>
    <brk id="84" max="1638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F44"/>
  <sheetViews>
    <sheetView view="pageBreakPreview" zoomScaleNormal="100" topLeftCell="A39" workbookViewId="0">
      <selection activeCell="B36" sqref="B36:D36"/>
    </sheetView>
  </sheetViews>
  <sheetFormatPr defaultColWidth="9" defaultRowHeight="14.4" outlineLevelCol="5"/>
  <cols>
    <col min="2" max="2" width="13.7777777777778" customWidth="1"/>
    <col min="3" max="3" width="39.2222222222222" customWidth="1"/>
    <col min="4" max="4" width="14.1111111111111" customWidth="1"/>
    <col min="5" max="5" width="15.212962962963" customWidth="1"/>
    <col min="6" max="6" width="13.4444444444444" customWidth="1"/>
  </cols>
  <sheetData>
    <row r="1" ht="20.4" spans="1:6">
      <c r="A1" s="10" t="s">
        <v>254</v>
      </c>
      <c r="B1" s="10"/>
      <c r="C1" s="10"/>
      <c r="D1" s="10"/>
      <c r="E1" s="10"/>
      <c r="F1" s="11" t="s">
        <v>99</v>
      </c>
    </row>
    <row r="2" ht="21" customHeight="1" spans="1:6">
      <c r="A2" s="12" t="s">
        <v>24</v>
      </c>
      <c r="B2" s="13" t="s">
        <v>483</v>
      </c>
      <c r="C2" s="13"/>
      <c r="D2" s="13"/>
      <c r="E2" s="13" t="s">
        <v>132</v>
      </c>
      <c r="F2" s="13" t="s">
        <v>0</v>
      </c>
    </row>
    <row r="3" spans="1:6">
      <c r="A3" s="12" t="s">
        <v>133</v>
      </c>
      <c r="B3" s="13" t="s">
        <v>534</v>
      </c>
      <c r="C3" s="13"/>
      <c r="D3" s="13"/>
      <c r="E3" s="13" t="s">
        <v>349</v>
      </c>
      <c r="F3" s="13" t="s">
        <v>0</v>
      </c>
    </row>
    <row r="4" spans="1:6">
      <c r="A4" s="12" t="s">
        <v>136</v>
      </c>
      <c r="B4" s="14" t="s">
        <v>484</v>
      </c>
      <c r="C4" s="14"/>
      <c r="D4" s="14"/>
      <c r="E4" s="12" t="s">
        <v>0</v>
      </c>
      <c r="F4" s="12" t="s">
        <v>0</v>
      </c>
    </row>
    <row r="5" spans="1:6">
      <c r="A5" s="3" t="s">
        <v>32</v>
      </c>
      <c r="B5" s="3" t="s">
        <v>109</v>
      </c>
      <c r="C5" s="3" t="s">
        <v>201</v>
      </c>
      <c r="D5" s="3" t="s">
        <v>202</v>
      </c>
      <c r="E5" s="3" t="s">
        <v>257</v>
      </c>
      <c r="F5" s="3" t="s">
        <v>258</v>
      </c>
    </row>
    <row r="6" ht="51.6" customHeight="1" spans="1:6">
      <c r="A6" s="3" t="s">
        <v>53</v>
      </c>
      <c r="B6" s="8" t="s">
        <v>39</v>
      </c>
      <c r="C6" s="3" t="s">
        <v>259</v>
      </c>
      <c r="D6" s="15">
        <f>'D3-3 分部分项工程量清单综合单价计算表(分页不带材料)~3'!F17</f>
        <v>0</v>
      </c>
      <c r="E6" s="16">
        <v>4.8</v>
      </c>
      <c r="F6" s="3">
        <f>ROUND(D6*E6/100,2)</f>
        <v>0</v>
      </c>
    </row>
    <row r="7" ht="51.6" customHeight="1" spans="1:6">
      <c r="A7" s="3" t="s">
        <v>60</v>
      </c>
      <c r="B7" s="8" t="s">
        <v>82</v>
      </c>
      <c r="C7" s="3" t="s">
        <v>260</v>
      </c>
      <c r="D7" s="17">
        <f>'D3-3 分部分项工程量清单综合单价计算表(分页不带材料)~3'!K17+'E.1分部分项工程总价措施项目清单计价表-GP型'!I18+'F1.1暂列金额明细表（GP型）'!D26+'G.1规费、税金项目清单计价表-GP型'!F6</f>
        <v>0</v>
      </c>
      <c r="E7" s="3">
        <v>9</v>
      </c>
      <c r="F7" s="3">
        <f>ROUND(D7*E7/100,2)</f>
        <v>0</v>
      </c>
    </row>
    <row r="8" ht="51.6" customHeight="1" spans="1:6">
      <c r="A8" s="3">
        <v>3</v>
      </c>
      <c r="B8" s="8" t="s">
        <v>83</v>
      </c>
      <c r="C8" s="3" t="s">
        <v>260</v>
      </c>
      <c r="D8" s="17">
        <f>D7</f>
        <v>0</v>
      </c>
      <c r="E8" s="3"/>
      <c r="F8" s="3">
        <f>ROUND(D8*E8/100,2)</f>
        <v>0</v>
      </c>
    </row>
    <row r="9" spans="1:6">
      <c r="A9" s="3" t="s">
        <v>0</v>
      </c>
      <c r="B9" s="8" t="s">
        <v>0</v>
      </c>
      <c r="C9" s="3" t="s">
        <v>0</v>
      </c>
      <c r="D9" s="18" t="s">
        <v>0</v>
      </c>
      <c r="E9" s="3" t="s">
        <v>0</v>
      </c>
      <c r="F9" s="3"/>
    </row>
    <row r="10" spans="1:6">
      <c r="A10" s="3" t="s">
        <v>0</v>
      </c>
      <c r="B10" s="8" t="s">
        <v>0</v>
      </c>
      <c r="C10" s="3" t="s">
        <v>0</v>
      </c>
      <c r="D10" s="18" t="s">
        <v>0</v>
      </c>
      <c r="E10" s="3" t="s">
        <v>0</v>
      </c>
      <c r="F10" s="3"/>
    </row>
    <row r="11" spans="1:6">
      <c r="A11" s="3" t="s">
        <v>164</v>
      </c>
      <c r="B11" s="3" t="s">
        <v>0</v>
      </c>
      <c r="C11" s="3" t="s">
        <v>0</v>
      </c>
      <c r="D11" s="3" t="s">
        <v>0</v>
      </c>
      <c r="E11" s="3" t="s">
        <v>0</v>
      </c>
      <c r="F11" s="3">
        <f>SUM(F6:F10)</f>
        <v>0</v>
      </c>
    </row>
    <row r="12" ht="20.4" spans="1:6">
      <c r="A12" s="10" t="s">
        <v>254</v>
      </c>
      <c r="B12" s="10"/>
      <c r="C12" s="10"/>
      <c r="D12" s="10"/>
      <c r="E12" s="10"/>
      <c r="F12" s="11" t="s">
        <v>101</v>
      </c>
    </row>
    <row r="13" ht="24" customHeight="1" spans="1:6">
      <c r="A13" s="12" t="s">
        <v>24</v>
      </c>
      <c r="B13" s="13" t="s">
        <v>483</v>
      </c>
      <c r="C13" s="13"/>
      <c r="D13" s="13"/>
      <c r="E13" s="13" t="s">
        <v>132</v>
      </c>
      <c r="F13" s="13" t="s">
        <v>0</v>
      </c>
    </row>
    <row r="14" spans="1:6">
      <c r="A14" s="12" t="s">
        <v>133</v>
      </c>
      <c r="B14" s="13" t="s">
        <v>530</v>
      </c>
      <c r="C14" s="13"/>
      <c r="D14" s="13"/>
      <c r="E14" s="13" t="s">
        <v>362</v>
      </c>
      <c r="F14" s="13" t="s">
        <v>0</v>
      </c>
    </row>
    <row r="15" spans="1:6">
      <c r="A15" s="12" t="s">
        <v>136</v>
      </c>
      <c r="B15" s="14" t="s">
        <v>535</v>
      </c>
      <c r="C15" s="14"/>
      <c r="D15" s="14"/>
      <c r="E15" s="12" t="s">
        <v>0</v>
      </c>
      <c r="F15" s="12" t="s">
        <v>0</v>
      </c>
    </row>
    <row r="16" spans="1:6">
      <c r="A16" s="3" t="s">
        <v>32</v>
      </c>
      <c r="B16" s="3" t="s">
        <v>109</v>
      </c>
      <c r="C16" s="3" t="s">
        <v>201</v>
      </c>
      <c r="D16" s="3" t="s">
        <v>202</v>
      </c>
      <c r="E16" s="3" t="s">
        <v>257</v>
      </c>
      <c r="F16" s="3" t="s">
        <v>258</v>
      </c>
    </row>
    <row r="17" ht="51.6" customHeight="1" spans="1:6">
      <c r="A17" s="3" t="s">
        <v>53</v>
      </c>
      <c r="B17" s="8" t="s">
        <v>39</v>
      </c>
      <c r="C17" s="3" t="s">
        <v>259</v>
      </c>
      <c r="D17" s="15">
        <f>'D3-3 分部分项工程量清单综合单价计算表(分页不带材料)~3'!F36</f>
        <v>0</v>
      </c>
      <c r="E17" s="16">
        <v>4.8</v>
      </c>
      <c r="F17" s="3">
        <f>ROUND(D17*E17/100,2)</f>
        <v>0</v>
      </c>
    </row>
    <row r="18" ht="51.6" customHeight="1" spans="1:6">
      <c r="A18" s="3" t="s">
        <v>60</v>
      </c>
      <c r="B18" s="8" t="s">
        <v>82</v>
      </c>
      <c r="C18" s="3" t="s">
        <v>260</v>
      </c>
      <c r="D18" s="17">
        <f>'D3-3 分部分项工程量清单综合单价计算表(分页不带材料)~3'!K36+'E.1分部分项工程总价措施项目清单计价表-GP型'!I38+'F1.1暂列金额明细表（GP型）'!D54+'G.1规费、税金项目清单计价表-GP型'!F17</f>
        <v>0</v>
      </c>
      <c r="E18" s="3">
        <v>9</v>
      </c>
      <c r="F18" s="3">
        <f>ROUND(D18*E18/100,2)</f>
        <v>0</v>
      </c>
    </row>
    <row r="19" ht="51.6" customHeight="1" spans="1:6">
      <c r="A19" s="3">
        <v>3</v>
      </c>
      <c r="B19" s="8" t="s">
        <v>83</v>
      </c>
      <c r="C19" s="3" t="s">
        <v>260</v>
      </c>
      <c r="D19" s="17">
        <f>D18</f>
        <v>0</v>
      </c>
      <c r="E19" s="3"/>
      <c r="F19" s="3">
        <f>ROUND(D19*E19/100,2)</f>
        <v>0</v>
      </c>
    </row>
    <row r="20" spans="1:6">
      <c r="A20" s="3" t="s">
        <v>0</v>
      </c>
      <c r="B20" s="8" t="s">
        <v>0</v>
      </c>
      <c r="C20" s="3" t="s">
        <v>0</v>
      </c>
      <c r="D20" s="18" t="s">
        <v>0</v>
      </c>
      <c r="E20" s="3" t="s">
        <v>0</v>
      </c>
      <c r="F20" s="3"/>
    </row>
    <row r="21" spans="1:6">
      <c r="A21" s="3" t="s">
        <v>0</v>
      </c>
      <c r="B21" s="8" t="s">
        <v>0</v>
      </c>
      <c r="C21" s="3" t="s">
        <v>0</v>
      </c>
      <c r="D21" s="18" t="s">
        <v>0</v>
      </c>
      <c r="E21" s="3" t="s">
        <v>0</v>
      </c>
      <c r="F21" s="3"/>
    </row>
    <row r="22" spans="1:6">
      <c r="A22" s="3" t="s">
        <v>164</v>
      </c>
      <c r="B22" s="3" t="s">
        <v>0</v>
      </c>
      <c r="C22" s="3" t="s">
        <v>0</v>
      </c>
      <c r="D22" s="3" t="s">
        <v>0</v>
      </c>
      <c r="E22" s="3" t="s">
        <v>0</v>
      </c>
      <c r="F22" s="3">
        <f>SUM(F17:F21)</f>
        <v>0</v>
      </c>
    </row>
    <row r="23" ht="20.4" spans="1:6">
      <c r="A23" s="10" t="s">
        <v>254</v>
      </c>
      <c r="B23" s="10"/>
      <c r="C23" s="10"/>
      <c r="D23" s="10"/>
      <c r="E23" s="10"/>
      <c r="F23" s="11" t="s">
        <v>103</v>
      </c>
    </row>
    <row r="24" ht="23" customHeight="1" spans="1:6">
      <c r="A24" s="12" t="s">
        <v>24</v>
      </c>
      <c r="B24" s="13" t="s">
        <v>483</v>
      </c>
      <c r="C24" s="13"/>
      <c r="D24" s="13"/>
      <c r="E24" s="13" t="s">
        <v>132</v>
      </c>
      <c r="F24" s="13" t="s">
        <v>0</v>
      </c>
    </row>
    <row r="25" spans="1:6">
      <c r="A25" s="12" t="s">
        <v>133</v>
      </c>
      <c r="B25" s="13" t="s">
        <v>373</v>
      </c>
      <c r="C25" s="13"/>
      <c r="D25" s="13"/>
      <c r="E25" s="13" t="s">
        <v>374</v>
      </c>
      <c r="F25" s="13" t="s">
        <v>0</v>
      </c>
    </row>
    <row r="26" spans="1:6">
      <c r="A26" s="12" t="s">
        <v>136</v>
      </c>
      <c r="B26" s="14" t="s">
        <v>536</v>
      </c>
      <c r="C26" s="14"/>
      <c r="D26" s="14"/>
      <c r="E26" s="12" t="s">
        <v>0</v>
      </c>
      <c r="F26" s="12" t="s">
        <v>0</v>
      </c>
    </row>
    <row r="27" spans="1:6">
      <c r="A27" s="3" t="s">
        <v>32</v>
      </c>
      <c r="B27" s="3" t="s">
        <v>109</v>
      </c>
      <c r="C27" s="3" t="s">
        <v>201</v>
      </c>
      <c r="D27" s="3" t="s">
        <v>202</v>
      </c>
      <c r="E27" s="3" t="s">
        <v>257</v>
      </c>
      <c r="F27" s="3" t="s">
        <v>258</v>
      </c>
    </row>
    <row r="28" ht="51.6" customHeight="1" spans="1:6">
      <c r="A28" s="3" t="s">
        <v>53</v>
      </c>
      <c r="B28" s="8" t="s">
        <v>39</v>
      </c>
      <c r="C28" s="3" t="s">
        <v>259</v>
      </c>
      <c r="D28" s="15">
        <f>'D3-3 分部分项工程量清单综合单价计算表(分页不带材料)~3'!F55</f>
        <v>3291096.628</v>
      </c>
      <c r="E28" s="16">
        <v>4.8</v>
      </c>
      <c r="F28" s="3">
        <f>ROUND(D28*E28/100,2)</f>
        <v>157972.64</v>
      </c>
    </row>
    <row r="29" ht="51.6" customHeight="1" spans="1:6">
      <c r="A29" s="3" t="s">
        <v>60</v>
      </c>
      <c r="B29" s="8" t="s">
        <v>82</v>
      </c>
      <c r="C29" s="3" t="s">
        <v>260</v>
      </c>
      <c r="D29" s="17">
        <f>'D3-3 分部分项工程量清单综合单价计算表(分页不带材料)~3'!K55+'E.1分部分项工程总价措施项目清单计价表-GP型'!I58+'F1.1暂列金额明细表（GP型）'!D82+F28</f>
        <v>6505860.65604</v>
      </c>
      <c r="E29" s="3">
        <v>9</v>
      </c>
      <c r="F29" s="3">
        <f>ROUND(D29*E29/100,2)</f>
        <v>585527.46</v>
      </c>
    </row>
    <row r="30" ht="51.6" customHeight="1" spans="1:6">
      <c r="A30" s="3">
        <v>3</v>
      </c>
      <c r="B30" s="8" t="s">
        <v>83</v>
      </c>
      <c r="C30" s="3" t="s">
        <v>260</v>
      </c>
      <c r="D30" s="17">
        <f>D29</f>
        <v>6505860.65604</v>
      </c>
      <c r="E30" s="3"/>
      <c r="F30" s="3">
        <f>ROUND(D30*E30/100,2)</f>
        <v>0</v>
      </c>
    </row>
    <row r="31" spans="1:6">
      <c r="A31" s="3" t="s">
        <v>0</v>
      </c>
      <c r="B31" s="8" t="s">
        <v>0</v>
      </c>
      <c r="C31" s="3" t="s">
        <v>0</v>
      </c>
      <c r="D31" s="18" t="s">
        <v>0</v>
      </c>
      <c r="E31" s="3" t="s">
        <v>0</v>
      </c>
      <c r="F31" s="3"/>
    </row>
    <row r="32" spans="1:6">
      <c r="A32" s="3" t="s">
        <v>0</v>
      </c>
      <c r="B32" s="8" t="s">
        <v>0</v>
      </c>
      <c r="C32" s="3" t="s">
        <v>0</v>
      </c>
      <c r="D32" s="18" t="s">
        <v>0</v>
      </c>
      <c r="E32" s="3" t="s">
        <v>0</v>
      </c>
      <c r="F32" s="3"/>
    </row>
    <row r="33" spans="1:6">
      <c r="A33" s="3" t="s">
        <v>164</v>
      </c>
      <c r="B33" s="3" t="s">
        <v>0</v>
      </c>
      <c r="C33" s="3" t="s">
        <v>0</v>
      </c>
      <c r="D33" s="3" t="s">
        <v>0</v>
      </c>
      <c r="E33" s="3" t="s">
        <v>0</v>
      </c>
      <c r="F33" s="3">
        <f>SUM(F28:F32)</f>
        <v>743500.1</v>
      </c>
    </row>
    <row r="34" ht="20.4" spans="1:6">
      <c r="A34" s="10" t="s">
        <v>254</v>
      </c>
      <c r="B34" s="10"/>
      <c r="C34" s="10"/>
      <c r="D34" s="10"/>
      <c r="E34" s="10"/>
      <c r="F34" s="11" t="s">
        <v>105</v>
      </c>
    </row>
    <row r="35" ht="24" customHeight="1" spans="1:6">
      <c r="A35" s="12" t="s">
        <v>24</v>
      </c>
      <c r="B35" s="13" t="s">
        <v>483</v>
      </c>
      <c r="C35" s="13"/>
      <c r="D35" s="13"/>
      <c r="E35" s="13" t="s">
        <v>132</v>
      </c>
      <c r="F35" s="13" t="s">
        <v>0</v>
      </c>
    </row>
    <row r="36" spans="1:6">
      <c r="A36" s="12" t="s">
        <v>133</v>
      </c>
      <c r="B36" s="13" t="s">
        <v>537</v>
      </c>
      <c r="C36" s="13"/>
      <c r="D36" s="13"/>
      <c r="E36" s="13" t="s">
        <v>386</v>
      </c>
      <c r="F36" s="13" t="s">
        <v>0</v>
      </c>
    </row>
    <row r="37" spans="1:6">
      <c r="A37" s="12" t="s">
        <v>136</v>
      </c>
      <c r="B37" s="14" t="s">
        <v>538</v>
      </c>
      <c r="C37" s="14"/>
      <c r="D37" s="14"/>
      <c r="E37" s="12" t="s">
        <v>0</v>
      </c>
      <c r="F37" s="12" t="s">
        <v>0</v>
      </c>
    </row>
    <row r="38" spans="1:6">
      <c r="A38" s="3" t="s">
        <v>32</v>
      </c>
      <c r="B38" s="3" t="s">
        <v>109</v>
      </c>
      <c r="C38" s="3" t="s">
        <v>201</v>
      </c>
      <c r="D38" s="3" t="s">
        <v>202</v>
      </c>
      <c r="E38" s="3" t="s">
        <v>257</v>
      </c>
      <c r="F38" s="3" t="s">
        <v>258</v>
      </c>
    </row>
    <row r="39" ht="51.6" customHeight="1" spans="1:6">
      <c r="A39" s="3" t="s">
        <v>53</v>
      </c>
      <c r="B39" s="8" t="s">
        <v>39</v>
      </c>
      <c r="C39" s="3" t="s">
        <v>259</v>
      </c>
      <c r="D39" s="15">
        <f>'D3-3 分部分项工程量清单综合单价计算表(分页不带材料)~3'!F74</f>
        <v>0</v>
      </c>
      <c r="E39" s="16">
        <v>4.8</v>
      </c>
      <c r="F39" s="3">
        <f>ROUND(D39*E39/100,2)</f>
        <v>0</v>
      </c>
    </row>
    <row r="40" ht="51.6" customHeight="1" spans="1:6">
      <c r="A40" s="3" t="s">
        <v>60</v>
      </c>
      <c r="B40" s="8" t="s">
        <v>82</v>
      </c>
      <c r="C40" s="3" t="s">
        <v>260</v>
      </c>
      <c r="D40" s="17">
        <f>'D3-3 分部分项工程量清单综合单价计算表(分页不带材料)~3'!K74+'E.1分部分项工程总价措施项目清单计价表-GP型'!I78+'F1.1暂列金额明细表（GP型）'!D110+'G.1规费、税金项目清单计价表-GP型'!F39</f>
        <v>0</v>
      </c>
      <c r="E40" s="3">
        <v>9</v>
      </c>
      <c r="F40" s="3">
        <f>ROUND(D40*E40/100,2)</f>
        <v>0</v>
      </c>
    </row>
    <row r="41" ht="51.6" customHeight="1" spans="1:6">
      <c r="A41" s="3">
        <v>3</v>
      </c>
      <c r="B41" s="8" t="s">
        <v>83</v>
      </c>
      <c r="C41" s="3" t="s">
        <v>260</v>
      </c>
      <c r="D41" s="17">
        <f>D40</f>
        <v>0</v>
      </c>
      <c r="E41" s="3"/>
      <c r="F41" s="3">
        <f>ROUND(D41*E41/100,2)</f>
        <v>0</v>
      </c>
    </row>
    <row r="42" spans="1:6">
      <c r="A42" s="3" t="s">
        <v>0</v>
      </c>
      <c r="B42" s="8" t="s">
        <v>0</v>
      </c>
      <c r="C42" s="3" t="s">
        <v>0</v>
      </c>
      <c r="D42" s="18" t="s">
        <v>0</v>
      </c>
      <c r="E42" s="3" t="s">
        <v>0</v>
      </c>
      <c r="F42" s="3"/>
    </row>
    <row r="43" spans="1:6">
      <c r="A43" s="3" t="s">
        <v>0</v>
      </c>
      <c r="B43" s="8" t="s">
        <v>0</v>
      </c>
      <c r="C43" s="3" t="s">
        <v>0</v>
      </c>
      <c r="D43" s="18" t="s">
        <v>0</v>
      </c>
      <c r="E43" s="3" t="s">
        <v>0</v>
      </c>
      <c r="F43" s="3"/>
    </row>
    <row r="44" spans="1:6">
      <c r="A44" s="3" t="s">
        <v>164</v>
      </c>
      <c r="B44" s="3" t="s">
        <v>0</v>
      </c>
      <c r="C44" s="3" t="s">
        <v>0</v>
      </c>
      <c r="D44" s="3" t="s">
        <v>0</v>
      </c>
      <c r="E44" s="3" t="s">
        <v>0</v>
      </c>
      <c r="F44" s="3">
        <f>SUM(F39:F43)</f>
        <v>0</v>
      </c>
    </row>
  </sheetData>
  <mergeCells count="28">
    <mergeCell ref="A1:E1"/>
    <mergeCell ref="B2:D2"/>
    <mergeCell ref="E2:F2"/>
    <mergeCell ref="B3:D3"/>
    <mergeCell ref="E3:F3"/>
    <mergeCell ref="B4:D4"/>
    <mergeCell ref="A11:E11"/>
    <mergeCell ref="A12:E12"/>
    <mergeCell ref="B13:D13"/>
    <mergeCell ref="E13:F13"/>
    <mergeCell ref="B14:D14"/>
    <mergeCell ref="E14:F14"/>
    <mergeCell ref="B15:D15"/>
    <mergeCell ref="A22:E22"/>
    <mergeCell ref="A23:E23"/>
    <mergeCell ref="B24:D24"/>
    <mergeCell ref="E24:F24"/>
    <mergeCell ref="B25:D25"/>
    <mergeCell ref="E25:F25"/>
    <mergeCell ref="B26:D26"/>
    <mergeCell ref="A33:E33"/>
    <mergeCell ref="A34:E34"/>
    <mergeCell ref="B35:D35"/>
    <mergeCell ref="E35:F35"/>
    <mergeCell ref="B36:D36"/>
    <mergeCell ref="E36:F36"/>
    <mergeCell ref="B37:D37"/>
    <mergeCell ref="A44:E44"/>
  </mergeCells>
  <pageMargins left="0.7" right="0.7" top="0.75" bottom="0.75" header="0.3" footer="0.3"/>
  <pageSetup paperSize="9" scale="125" orientation="landscape"/>
  <headerFooter/>
  <rowBreaks count="3" manualBreakCount="3">
    <brk id="11" max="16383" man="1"/>
    <brk id="22" max="16383" man="1"/>
    <brk id="33" max="1638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view="pageBreakPreview" zoomScaleNormal="100" topLeftCell="A6" workbookViewId="0">
      <selection activeCell="A3" sqref="A3"/>
    </sheetView>
  </sheetViews>
  <sheetFormatPr defaultColWidth="9" defaultRowHeight="14.4" outlineLevelCol="5"/>
  <cols>
    <col min="1" max="1" width="6.77777777777778" customWidth="1"/>
    <col min="2" max="2" width="11" customWidth="1"/>
    <col min="3" max="3" width="22.6666666666667" customWidth="1"/>
    <col min="4" max="4" width="33" customWidth="1"/>
    <col min="5" max="5" width="10.3333333333333" customWidth="1"/>
    <col min="6" max="6" width="9.66666666666667" customWidth="1"/>
  </cols>
  <sheetData>
    <row r="1" ht="28.8" customHeight="1" spans="1:6">
      <c r="A1" s="1" t="s">
        <v>261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</row>
    <row r="2" ht="28" customHeight="1" spans="1:6">
      <c r="A2" s="2" t="s">
        <v>345</v>
      </c>
      <c r="B2" s="2"/>
      <c r="C2" s="2"/>
      <c r="D2" s="2"/>
      <c r="E2" s="2"/>
      <c r="F2" s="2"/>
    </row>
    <row r="3" ht="31.8" customHeight="1" spans="1:6">
      <c r="A3" s="3" t="s">
        <v>32</v>
      </c>
      <c r="B3" s="4" t="s">
        <v>262</v>
      </c>
      <c r="C3" s="3" t="s">
        <v>263</v>
      </c>
      <c r="D3" s="3" t="s">
        <v>264</v>
      </c>
      <c r="E3" s="3" t="s">
        <v>110</v>
      </c>
      <c r="F3" s="3" t="s">
        <v>265</v>
      </c>
    </row>
    <row r="4" spans="1:6">
      <c r="A4" s="3" t="s">
        <v>53</v>
      </c>
      <c r="B4" s="3" t="s">
        <v>338</v>
      </c>
      <c r="C4" s="5" t="s">
        <v>320</v>
      </c>
      <c r="D4" s="6"/>
      <c r="E4" s="7" t="s">
        <v>170</v>
      </c>
      <c r="F4" s="7">
        <v>232</v>
      </c>
    </row>
    <row r="5" spans="1:6">
      <c r="A5" s="3" t="s">
        <v>60</v>
      </c>
      <c r="B5" s="3" t="s">
        <v>266</v>
      </c>
      <c r="C5" s="5" t="s">
        <v>267</v>
      </c>
      <c r="D5" s="6"/>
      <c r="E5" s="7" t="s">
        <v>170</v>
      </c>
      <c r="F5" s="7">
        <v>232</v>
      </c>
    </row>
    <row r="6" spans="1:6">
      <c r="A6" s="3" t="s">
        <v>64</v>
      </c>
      <c r="B6" s="3" t="s">
        <v>339</v>
      </c>
      <c r="C6" s="5" t="s">
        <v>321</v>
      </c>
      <c r="D6" s="6"/>
      <c r="E6" s="7" t="s">
        <v>170</v>
      </c>
      <c r="F6" s="7">
        <v>232</v>
      </c>
    </row>
    <row r="7" spans="1:6">
      <c r="A7" s="3" t="s">
        <v>74</v>
      </c>
      <c r="B7" s="3" t="s">
        <v>340</v>
      </c>
      <c r="C7" s="5" t="s">
        <v>322</v>
      </c>
      <c r="D7" s="6"/>
      <c r="E7" s="7" t="s">
        <v>170</v>
      </c>
      <c r="F7" s="7">
        <v>128</v>
      </c>
    </row>
    <row r="8" spans="1:6">
      <c r="A8" s="3" t="s">
        <v>75</v>
      </c>
      <c r="B8" s="3" t="s">
        <v>341</v>
      </c>
      <c r="C8" s="5" t="s">
        <v>323</v>
      </c>
      <c r="D8" s="6"/>
      <c r="E8" s="7" t="s">
        <v>170</v>
      </c>
      <c r="F8" s="7">
        <v>128</v>
      </c>
    </row>
    <row r="9" spans="1:6">
      <c r="A9" s="3" t="s">
        <v>77</v>
      </c>
      <c r="B9" s="3" t="s">
        <v>342</v>
      </c>
      <c r="C9" s="5" t="s">
        <v>324</v>
      </c>
      <c r="D9" s="6"/>
      <c r="E9" s="7" t="s">
        <v>170</v>
      </c>
      <c r="F9" s="7">
        <v>128</v>
      </c>
    </row>
    <row r="10" spans="1:6">
      <c r="A10" s="3" t="s">
        <v>81</v>
      </c>
      <c r="B10" s="3" t="s">
        <v>343</v>
      </c>
      <c r="C10" s="5" t="s">
        <v>325</v>
      </c>
      <c r="D10" s="6"/>
      <c r="E10" s="7" t="s">
        <v>170</v>
      </c>
      <c r="F10" s="7">
        <v>128</v>
      </c>
    </row>
    <row r="11" spans="1:6">
      <c r="A11" s="3" t="s">
        <v>157</v>
      </c>
      <c r="B11" s="3" t="s">
        <v>344</v>
      </c>
      <c r="C11" s="5" t="s">
        <v>326</v>
      </c>
      <c r="D11" s="6"/>
      <c r="E11" s="7" t="s">
        <v>170</v>
      </c>
      <c r="F11" s="7">
        <v>128</v>
      </c>
    </row>
    <row r="12" spans="1:6">
      <c r="A12" s="3" t="s">
        <v>160</v>
      </c>
      <c r="B12" s="3" t="s">
        <v>268</v>
      </c>
      <c r="C12" s="5" t="s">
        <v>171</v>
      </c>
      <c r="D12" s="6"/>
      <c r="E12" s="7" t="s">
        <v>170</v>
      </c>
      <c r="F12" s="7">
        <v>128</v>
      </c>
    </row>
    <row r="13" spans="1:6">
      <c r="A13" s="3" t="s">
        <v>278</v>
      </c>
      <c r="B13" s="3" t="s">
        <v>269</v>
      </c>
      <c r="C13" s="5" t="s">
        <v>172</v>
      </c>
      <c r="D13" s="6"/>
      <c r="E13" s="7" t="s">
        <v>170</v>
      </c>
      <c r="F13" s="7">
        <v>128</v>
      </c>
    </row>
    <row r="14" spans="1:6">
      <c r="A14" s="3" t="s">
        <v>280</v>
      </c>
      <c r="B14" s="3" t="s">
        <v>270</v>
      </c>
      <c r="C14" s="5" t="s">
        <v>173</v>
      </c>
      <c r="D14" s="6"/>
      <c r="E14" s="7" t="s">
        <v>170</v>
      </c>
      <c r="F14" s="7">
        <v>128</v>
      </c>
    </row>
    <row r="15" spans="1:6">
      <c r="A15" s="3" t="s">
        <v>282</v>
      </c>
      <c r="B15" s="3" t="s">
        <v>271</v>
      </c>
      <c r="C15" s="5" t="s">
        <v>174</v>
      </c>
      <c r="D15" s="6"/>
      <c r="E15" s="7" t="s">
        <v>170</v>
      </c>
      <c r="F15" s="7">
        <v>128</v>
      </c>
    </row>
    <row r="16" spans="1:6">
      <c r="A16" s="3" t="s">
        <v>284</v>
      </c>
      <c r="B16" s="3" t="s">
        <v>272</v>
      </c>
      <c r="C16" s="5" t="s">
        <v>175</v>
      </c>
      <c r="D16" s="6"/>
      <c r="E16" s="7" t="s">
        <v>170</v>
      </c>
      <c r="F16" s="7">
        <v>128</v>
      </c>
    </row>
    <row r="17" spans="1:6">
      <c r="A17" s="3" t="s">
        <v>286</v>
      </c>
      <c r="B17" s="3" t="s">
        <v>273</v>
      </c>
      <c r="C17" s="5" t="s">
        <v>179</v>
      </c>
      <c r="D17" s="6"/>
      <c r="E17" s="7" t="s">
        <v>170</v>
      </c>
      <c r="F17" s="7">
        <v>128</v>
      </c>
    </row>
    <row r="18" spans="1:6">
      <c r="A18" s="3" t="s">
        <v>288</v>
      </c>
      <c r="B18" s="3" t="s">
        <v>275</v>
      </c>
      <c r="C18" s="5" t="s">
        <v>276</v>
      </c>
      <c r="D18" s="6"/>
      <c r="E18" s="7" t="s">
        <v>170</v>
      </c>
      <c r="F18" s="7">
        <v>128</v>
      </c>
    </row>
    <row r="19" spans="1:6">
      <c r="A19" s="3" t="s">
        <v>291</v>
      </c>
      <c r="B19" s="3" t="s">
        <v>277</v>
      </c>
      <c r="C19" s="5" t="s">
        <v>148</v>
      </c>
      <c r="D19" s="8"/>
      <c r="E19" s="7" t="s">
        <v>170</v>
      </c>
      <c r="F19" s="7">
        <v>128</v>
      </c>
    </row>
    <row r="20" spans="1:6">
      <c r="A20" s="3" t="s">
        <v>293</v>
      </c>
      <c r="B20" s="3" t="s">
        <v>279</v>
      </c>
      <c r="C20" s="5" t="s">
        <v>183</v>
      </c>
      <c r="D20" s="8"/>
      <c r="E20" s="7" t="s">
        <v>170</v>
      </c>
      <c r="F20" s="7">
        <v>128</v>
      </c>
    </row>
    <row r="21" spans="1:6">
      <c r="A21" s="3" t="s">
        <v>296</v>
      </c>
      <c r="B21" s="3" t="s">
        <v>281</v>
      </c>
      <c r="C21" s="8" t="s">
        <v>184</v>
      </c>
      <c r="D21" s="8"/>
      <c r="E21" s="3" t="s">
        <v>185</v>
      </c>
      <c r="F21" s="3"/>
    </row>
    <row r="22" spans="1:6">
      <c r="A22" s="3" t="s">
        <v>298</v>
      </c>
      <c r="B22" s="3" t="s">
        <v>283</v>
      </c>
      <c r="C22" s="8" t="s">
        <v>152</v>
      </c>
      <c r="D22" s="8" t="s">
        <v>0</v>
      </c>
      <c r="E22" s="3" t="s">
        <v>170</v>
      </c>
      <c r="F22" s="7">
        <v>128</v>
      </c>
    </row>
    <row r="23" spans="1:6">
      <c r="A23" s="3" t="s">
        <v>300</v>
      </c>
      <c r="B23" s="3" t="s">
        <v>285</v>
      </c>
      <c r="C23" s="8" t="s">
        <v>154</v>
      </c>
      <c r="D23" s="8" t="s">
        <v>0</v>
      </c>
      <c r="E23" s="3" t="s">
        <v>170</v>
      </c>
      <c r="F23" s="7">
        <v>128</v>
      </c>
    </row>
    <row r="24" spans="1:6">
      <c r="A24" s="3" t="s">
        <v>302</v>
      </c>
      <c r="B24" s="3" t="s">
        <v>287</v>
      </c>
      <c r="C24" s="8" t="s">
        <v>156</v>
      </c>
      <c r="D24" s="8" t="s">
        <v>0</v>
      </c>
      <c r="E24" s="3" t="s">
        <v>170</v>
      </c>
      <c r="F24" s="7">
        <v>128</v>
      </c>
    </row>
    <row r="25" spans="1:6">
      <c r="A25" s="3" t="s">
        <v>304</v>
      </c>
      <c r="B25" s="3" t="s">
        <v>289</v>
      </c>
      <c r="C25" s="8" t="s">
        <v>159</v>
      </c>
      <c r="D25" s="8" t="s">
        <v>0</v>
      </c>
      <c r="E25" s="3" t="s">
        <v>290</v>
      </c>
      <c r="F25" s="3">
        <v>32</v>
      </c>
    </row>
    <row r="26" spans="1:6">
      <c r="A26" s="3" t="s">
        <v>446</v>
      </c>
      <c r="B26" s="3" t="s">
        <v>292</v>
      </c>
      <c r="C26" s="8" t="s">
        <v>188</v>
      </c>
      <c r="D26" s="8" t="s">
        <v>0</v>
      </c>
      <c r="E26" s="3" t="s">
        <v>189</v>
      </c>
      <c r="F26" s="3"/>
    </row>
    <row r="27" spans="1:6">
      <c r="A27" s="3" t="s">
        <v>448</v>
      </c>
      <c r="B27" s="3" t="s">
        <v>294</v>
      </c>
      <c r="C27" s="8" t="s">
        <v>295</v>
      </c>
      <c r="D27" s="8" t="s">
        <v>0</v>
      </c>
      <c r="E27" s="3" t="s">
        <v>163</v>
      </c>
      <c r="F27" s="3">
        <v>400</v>
      </c>
    </row>
    <row r="28" spans="1:6">
      <c r="A28" s="3" t="s">
        <v>451</v>
      </c>
      <c r="B28" s="3" t="s">
        <v>539</v>
      </c>
      <c r="C28" s="8" t="s">
        <v>415</v>
      </c>
      <c r="D28" s="8"/>
      <c r="E28" s="3" t="s">
        <v>177</v>
      </c>
      <c r="F28" s="3">
        <v>3.83</v>
      </c>
    </row>
    <row r="29" spans="1:6">
      <c r="A29" s="3">
        <v>26</v>
      </c>
      <c r="B29" s="3" t="s">
        <v>299</v>
      </c>
      <c r="C29" s="8" t="s">
        <v>178</v>
      </c>
      <c r="D29" s="8"/>
      <c r="E29" s="3" t="s">
        <v>177</v>
      </c>
      <c r="F29" s="3">
        <v>4.83</v>
      </c>
    </row>
    <row r="30" spans="1:6">
      <c r="A30" s="3">
        <v>27</v>
      </c>
      <c r="B30" s="3" t="s">
        <v>301</v>
      </c>
      <c r="C30" s="8" t="s">
        <v>180</v>
      </c>
      <c r="D30" s="8" t="s">
        <v>0</v>
      </c>
      <c r="E30" s="3" t="s">
        <v>181</v>
      </c>
      <c r="F30" s="3">
        <v>1</v>
      </c>
    </row>
    <row r="31" spans="1:6">
      <c r="A31" s="3">
        <v>28</v>
      </c>
      <c r="B31" s="3" t="s">
        <v>303</v>
      </c>
      <c r="C31" s="8" t="s">
        <v>182</v>
      </c>
      <c r="D31" s="8" t="s">
        <v>0</v>
      </c>
      <c r="E31" s="3" t="s">
        <v>181</v>
      </c>
      <c r="F31" s="3">
        <v>3</v>
      </c>
    </row>
    <row r="32" spans="1:6">
      <c r="A32" s="3">
        <v>29</v>
      </c>
      <c r="B32" s="3" t="s">
        <v>305</v>
      </c>
      <c r="C32" s="8" t="s">
        <v>187</v>
      </c>
      <c r="D32" s="3"/>
      <c r="E32" s="3" t="s">
        <v>181</v>
      </c>
      <c r="F32" s="3">
        <v>23.3</v>
      </c>
    </row>
    <row r="33" spans="1:6">
      <c r="A33" s="9" t="s">
        <v>29</v>
      </c>
      <c r="B33" s="9" t="s">
        <v>0</v>
      </c>
      <c r="C33" s="9" t="s">
        <v>0</v>
      </c>
      <c r="D33" s="9" t="s">
        <v>0</v>
      </c>
      <c r="E33" s="9" t="s">
        <v>0</v>
      </c>
      <c r="F33" s="9" t="s">
        <v>0</v>
      </c>
    </row>
  </sheetData>
  <mergeCells count="3">
    <mergeCell ref="A1:F1"/>
    <mergeCell ref="A2:F2"/>
    <mergeCell ref="A33:F33"/>
  </mergeCells>
  <pageMargins left="2.20416666666667" right="0.708661417322835" top="0.748031496062992" bottom="0.748031496062992" header="0.31496062992126" footer="0.31496062992126"/>
  <pageSetup paperSize="9" scale="98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F13"/>
  <sheetViews>
    <sheetView view="pageBreakPreview" zoomScaleNormal="100" workbookViewId="0">
      <selection activeCell="B3" sqref="B3:C4"/>
    </sheetView>
  </sheetViews>
  <sheetFormatPr defaultColWidth="9" defaultRowHeight="30" customHeight="1" outlineLevelCol="5"/>
  <cols>
    <col min="1" max="1" width="10.2222222222222" customWidth="1"/>
    <col min="3" max="3" width="14.1111111111111" customWidth="1"/>
    <col min="4" max="4" width="18.5555555555556" customWidth="1"/>
    <col min="5" max="5" width="22.1111111111111" customWidth="1"/>
    <col min="6" max="6" width="20.8796296296296" customWidth="1"/>
  </cols>
  <sheetData>
    <row r="1" customHeight="1" spans="1:6">
      <c r="A1" s="10" t="s">
        <v>45</v>
      </c>
      <c r="B1" s="10" t="s">
        <v>0</v>
      </c>
      <c r="C1" s="10" t="s">
        <v>0</v>
      </c>
      <c r="D1" s="10" t="s">
        <v>0</v>
      </c>
      <c r="E1" s="10" t="s">
        <v>0</v>
      </c>
      <c r="F1" s="10" t="s">
        <v>0</v>
      </c>
    </row>
    <row r="2" customHeight="1" spans="1:6">
      <c r="A2" s="74" t="s">
        <v>24</v>
      </c>
      <c r="B2" s="2" t="s">
        <v>46</v>
      </c>
      <c r="C2" s="2"/>
      <c r="D2" s="2"/>
      <c r="E2" s="2"/>
      <c r="F2" s="11" t="s">
        <v>47</v>
      </c>
    </row>
    <row r="3" customHeight="1" spans="1:6">
      <c r="A3" s="3" t="s">
        <v>48</v>
      </c>
      <c r="B3" s="3" t="s">
        <v>49</v>
      </c>
      <c r="C3" s="3" t="s">
        <v>0</v>
      </c>
      <c r="D3" s="3" t="s">
        <v>50</v>
      </c>
      <c r="E3" s="3" t="s">
        <v>51</v>
      </c>
      <c r="F3" s="3" t="s">
        <v>0</v>
      </c>
    </row>
    <row r="4" customHeight="1" spans="1:6">
      <c r="A4" s="3" t="s">
        <v>0</v>
      </c>
      <c r="B4" s="3" t="s">
        <v>0</v>
      </c>
      <c r="C4" s="3" t="s">
        <v>0</v>
      </c>
      <c r="D4" s="3" t="s">
        <v>0</v>
      </c>
      <c r="E4" s="3" t="s">
        <v>52</v>
      </c>
      <c r="F4" s="3" t="s">
        <v>39</v>
      </c>
    </row>
    <row r="5" customHeight="1" spans="1:6">
      <c r="A5" s="3" t="s">
        <v>53</v>
      </c>
      <c r="B5" s="114" t="s">
        <v>54</v>
      </c>
      <c r="C5" s="115"/>
      <c r="D5" s="116">
        <f>'C1-3单位工程预算汇总表-ZL型'!C19</f>
        <v>429086.768</v>
      </c>
      <c r="E5" s="3">
        <f>'C1-3单位工程预算汇总表-ZL型'!C6</f>
        <v>5166.9265</v>
      </c>
      <c r="F5" s="3">
        <f>'C1-3单位工程预算汇总表-ZL型'!C12</f>
        <v>9652.97</v>
      </c>
    </row>
    <row r="6" customHeight="1" spans="1:6">
      <c r="A6" s="3"/>
      <c r="B6" s="114"/>
      <c r="C6" s="115"/>
      <c r="D6" s="117"/>
      <c r="E6" s="18"/>
      <c r="F6" s="18"/>
    </row>
    <row r="7" customHeight="1" spans="1:6">
      <c r="A7" s="3"/>
      <c r="B7" s="114"/>
      <c r="C7" s="115"/>
      <c r="D7" s="117"/>
      <c r="E7" s="18"/>
      <c r="F7" s="18"/>
    </row>
    <row r="8" customHeight="1" spans="1:6">
      <c r="A8" s="3"/>
      <c r="B8" s="114"/>
      <c r="C8" s="115"/>
      <c r="D8" s="18"/>
      <c r="E8" s="18"/>
      <c r="F8" s="18"/>
    </row>
    <row r="9" customHeight="1" spans="1:6">
      <c r="A9" s="3"/>
      <c r="B9" s="114"/>
      <c r="C9" s="115"/>
      <c r="D9" s="18"/>
      <c r="E9" s="18"/>
      <c r="F9" s="18"/>
    </row>
    <row r="10" customHeight="1" spans="1:6">
      <c r="A10" s="3" t="s">
        <v>0</v>
      </c>
      <c r="B10" s="8" t="s">
        <v>0</v>
      </c>
      <c r="C10" s="8" t="s">
        <v>0</v>
      </c>
      <c r="D10" s="18" t="s">
        <v>0</v>
      </c>
      <c r="E10" s="18" t="s">
        <v>0</v>
      </c>
      <c r="F10" s="18" t="s">
        <v>0</v>
      </c>
    </row>
    <row r="11" customHeight="1" spans="1:6">
      <c r="A11" s="3" t="s">
        <v>0</v>
      </c>
      <c r="B11" s="8" t="s">
        <v>0</v>
      </c>
      <c r="C11" s="8" t="s">
        <v>0</v>
      </c>
      <c r="D11" s="18" t="s">
        <v>0</v>
      </c>
      <c r="E11" s="18" t="s">
        <v>0</v>
      </c>
      <c r="F11" s="18" t="s">
        <v>0</v>
      </c>
    </row>
    <row r="12" customHeight="1" spans="1:6">
      <c r="A12" s="3" t="s">
        <v>0</v>
      </c>
      <c r="B12" s="8" t="s">
        <v>0</v>
      </c>
      <c r="C12" s="8" t="s">
        <v>0</v>
      </c>
      <c r="D12" s="18" t="s">
        <v>0</v>
      </c>
      <c r="E12" s="18" t="s">
        <v>0</v>
      </c>
      <c r="F12" s="18" t="s">
        <v>0</v>
      </c>
    </row>
    <row r="13" customHeight="1" spans="1:6">
      <c r="A13" s="3" t="s">
        <v>55</v>
      </c>
      <c r="B13" s="3" t="s">
        <v>0</v>
      </c>
      <c r="C13" s="3" t="s">
        <v>0</v>
      </c>
      <c r="D13" s="3">
        <f>SUM(D5:D12)</f>
        <v>429086.768</v>
      </c>
      <c r="E13" s="3">
        <f>SUM(E5:E12)</f>
        <v>5166.9265</v>
      </c>
      <c r="F13" s="3">
        <f>SUM(F5:F12)</f>
        <v>9652.97</v>
      </c>
    </row>
  </sheetData>
  <mergeCells count="15">
    <mergeCell ref="A1:F1"/>
    <mergeCell ref="B2:E2"/>
    <mergeCell ref="E3:F3"/>
    <mergeCell ref="B5:C5"/>
    <mergeCell ref="B6:C6"/>
    <mergeCell ref="B7:C7"/>
    <mergeCell ref="B8:C8"/>
    <mergeCell ref="B9:C9"/>
    <mergeCell ref="B10:C10"/>
    <mergeCell ref="B11:C11"/>
    <mergeCell ref="B12:C12"/>
    <mergeCell ref="A13:C13"/>
    <mergeCell ref="A3:A4"/>
    <mergeCell ref="D3:D4"/>
    <mergeCell ref="B3:C4"/>
  </mergeCells>
  <pageMargins left="1.02361111111111" right="1.0625" top="0.75" bottom="0.75" header="0.3" footer="0.3"/>
  <pageSetup paperSize="9" scale="13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D19"/>
  <sheetViews>
    <sheetView view="pageBreakPreview" zoomScaleNormal="100" topLeftCell="A2" workbookViewId="0">
      <selection activeCell="B3" sqref="B3"/>
    </sheetView>
  </sheetViews>
  <sheetFormatPr defaultColWidth="9" defaultRowHeight="30" customHeight="1" outlineLevelCol="3"/>
  <cols>
    <col min="1" max="1" width="12.8796296296296" customWidth="1"/>
    <col min="2" max="2" width="47.2222222222222" customWidth="1"/>
    <col min="3" max="3" width="16.7777777777778" customWidth="1"/>
    <col min="4" max="4" width="15.7777777777778" customWidth="1"/>
  </cols>
  <sheetData>
    <row r="1" customHeight="1" spans="1:4">
      <c r="A1" s="10" t="s">
        <v>45</v>
      </c>
      <c r="B1" s="10" t="s">
        <v>0</v>
      </c>
      <c r="C1" s="10" t="s">
        <v>0</v>
      </c>
      <c r="D1" s="10" t="s">
        <v>0</v>
      </c>
    </row>
    <row r="2" customHeight="1" spans="1:4">
      <c r="A2" s="74" t="s">
        <v>24</v>
      </c>
      <c r="B2" s="2" t="s">
        <v>46</v>
      </c>
      <c r="C2" s="2"/>
      <c r="D2" s="9" t="s">
        <v>47</v>
      </c>
    </row>
    <row r="3" customHeight="1" spans="1:4">
      <c r="A3" s="3" t="s">
        <v>32</v>
      </c>
      <c r="B3" s="3" t="s">
        <v>56</v>
      </c>
      <c r="C3" s="3" t="s">
        <v>57</v>
      </c>
      <c r="D3" s="3" t="s">
        <v>58</v>
      </c>
    </row>
    <row r="4" customHeight="1" spans="1:4">
      <c r="A4" s="3" t="s">
        <v>53</v>
      </c>
      <c r="B4" s="8" t="s">
        <v>59</v>
      </c>
      <c r="C4" s="15">
        <f>'C1-3单位工程预算汇总表-ZL型'!C4+'C1-3单位工程预算汇总表-ZL型'!C24+'C1-3单位工程预算汇总表-ZL型'!C44</f>
        <v>378837.6915</v>
      </c>
      <c r="D4" s="18" t="s">
        <v>9</v>
      </c>
    </row>
    <row r="5" customHeight="1" spans="1:4">
      <c r="A5" s="3" t="s">
        <v>60</v>
      </c>
      <c r="B5" s="8" t="s">
        <v>61</v>
      </c>
      <c r="C5" s="15">
        <f>'C1-3单位工程预算汇总表-ZL型'!C5+'C1-3单位工程预算汇总表-ZL型'!C25+'C1-3单位工程预算汇总表-ZL型'!C45</f>
        <v>5166.9265</v>
      </c>
      <c r="D5" s="3" t="s">
        <v>43</v>
      </c>
    </row>
    <row r="6" customHeight="1" spans="1:4">
      <c r="A6" s="3" t="s">
        <v>62</v>
      </c>
      <c r="B6" s="8" t="s">
        <v>63</v>
      </c>
      <c r="C6" s="15">
        <f>'C1-3单位工程预算汇总表-ZL型'!C6+'C1-3单位工程预算汇总表-ZL型'!C26+'C1-3单位工程预算汇总表-ZL型'!C46</f>
        <v>5166.9265</v>
      </c>
      <c r="D6" s="3" t="s">
        <v>43</v>
      </c>
    </row>
    <row r="7" customHeight="1" spans="1:4">
      <c r="A7" s="3" t="s">
        <v>64</v>
      </c>
      <c r="B7" s="8" t="s">
        <v>65</v>
      </c>
      <c r="C7" s="15">
        <f>'C1-3单位工程预算汇总表-ZL型'!C7+'C1-3单位工程预算汇总表-ZL型'!C27+'C1-3单位工程预算汇总表-ZL型'!C47</f>
        <v>0</v>
      </c>
      <c r="D7" s="3" t="s">
        <v>43</v>
      </c>
    </row>
    <row r="8" customHeight="1" spans="1:4">
      <c r="A8" s="3" t="s">
        <v>66</v>
      </c>
      <c r="B8" s="8" t="s">
        <v>67</v>
      </c>
      <c r="C8" s="15">
        <f>'C1-3单位工程预算汇总表-ZL型'!C8+'C1-3单位工程预算汇总表-ZL型'!C28+'C1-3单位工程预算汇总表-ZL型'!C48</f>
        <v>0</v>
      </c>
      <c r="D8" s="3" t="s">
        <v>43</v>
      </c>
    </row>
    <row r="9" customHeight="1" spans="1:4">
      <c r="A9" s="3" t="s">
        <v>68</v>
      </c>
      <c r="B9" s="8" t="s">
        <v>69</v>
      </c>
      <c r="C9" s="15"/>
      <c r="D9" s="3" t="s">
        <v>43</v>
      </c>
    </row>
    <row r="10" customHeight="1" spans="1:4">
      <c r="A10" s="3" t="s">
        <v>70</v>
      </c>
      <c r="B10" s="8" t="s">
        <v>71</v>
      </c>
      <c r="C10" s="15"/>
      <c r="D10" s="3" t="s">
        <v>43</v>
      </c>
    </row>
    <row r="11" customHeight="1" spans="1:4">
      <c r="A11" s="3" t="s">
        <v>72</v>
      </c>
      <c r="B11" s="8" t="s">
        <v>73</v>
      </c>
      <c r="C11" s="15"/>
      <c r="D11" s="3" t="s">
        <v>43</v>
      </c>
    </row>
    <row r="12" customHeight="1" spans="1:4">
      <c r="A12" s="3" t="s">
        <v>74</v>
      </c>
      <c r="B12" s="8" t="s">
        <v>39</v>
      </c>
      <c r="C12" s="15">
        <f>'C1-3单位工程预算汇总表-ZL型'!C12+'C1-3单位工程预算汇总表-ZL型'!C32+'C1-3单位工程预算汇总表-ZL型'!C52</f>
        <v>9652.97</v>
      </c>
      <c r="D12" s="3" t="s">
        <v>43</v>
      </c>
    </row>
    <row r="13" customHeight="1" spans="1:4">
      <c r="A13" s="3" t="s">
        <v>75</v>
      </c>
      <c r="B13" s="8" t="s">
        <v>76</v>
      </c>
      <c r="C13" s="15"/>
      <c r="D13" s="3" t="s">
        <v>43</v>
      </c>
    </row>
    <row r="14" customHeight="1" spans="1:4">
      <c r="A14" s="3" t="s">
        <v>77</v>
      </c>
      <c r="B14" s="8" t="s">
        <v>78</v>
      </c>
      <c r="C14" s="15">
        <f>'C1-3单位工程预算汇总表-ZL型'!C14+'C1-3单位工程预算汇总表-ZL型'!C34+'C1-3单位工程预算汇总表-ZL型'!C54</f>
        <v>393657.588</v>
      </c>
      <c r="D14" s="3" t="s">
        <v>43</v>
      </c>
    </row>
    <row r="15" customHeight="1" spans="1:4">
      <c r="A15" s="3" t="s">
        <v>79</v>
      </c>
      <c r="B15" s="8" t="s">
        <v>80</v>
      </c>
      <c r="C15" s="15"/>
      <c r="D15" s="3" t="s">
        <v>43</v>
      </c>
    </row>
    <row r="16" customHeight="1" spans="1:4">
      <c r="A16" s="3" t="s">
        <v>81</v>
      </c>
      <c r="B16" s="8" t="s">
        <v>82</v>
      </c>
      <c r="C16" s="15">
        <f>'C1-3单位工程预算汇总表-ZL型'!C16+'C1-3单位工程预算汇总表-ZL型'!C36+'C1-3单位工程预算汇总表-ZL型'!C56</f>
        <v>35429.18</v>
      </c>
      <c r="D16" s="3" t="s">
        <v>43</v>
      </c>
    </row>
    <row r="17" customHeight="1" spans="1:4">
      <c r="A17" s="3">
        <v>8</v>
      </c>
      <c r="B17" s="8" t="s">
        <v>83</v>
      </c>
      <c r="C17" s="15">
        <f>'C1-3单位工程预算汇总表-ZL型'!C17+'C1-3单位工程预算汇总表-ZL型'!C37+'C1-3单位工程预算汇总表-ZL型'!C57</f>
        <v>0</v>
      </c>
      <c r="D17" s="18" t="s">
        <v>0</v>
      </c>
    </row>
    <row r="18" customHeight="1" spans="1:4">
      <c r="A18" s="3" t="s">
        <v>0</v>
      </c>
      <c r="B18" s="8" t="s">
        <v>0</v>
      </c>
      <c r="C18" s="15"/>
      <c r="D18" s="18" t="s">
        <v>0</v>
      </c>
    </row>
    <row r="19" customHeight="1" spans="1:4">
      <c r="A19" s="3" t="s">
        <v>84</v>
      </c>
      <c r="B19" s="3" t="s">
        <v>0</v>
      </c>
      <c r="C19" s="15">
        <f>'C1-3单位工程预算汇总表-ZL型'!C19+'C1-3单位工程预算汇总表-ZL型'!C39+'C1-3单位工程预算汇总表-ZL型'!C59</f>
        <v>429086.768</v>
      </c>
      <c r="D19" s="18"/>
    </row>
  </sheetData>
  <mergeCells count="3">
    <mergeCell ref="A1:D1"/>
    <mergeCell ref="B2:C2"/>
    <mergeCell ref="A19:B19"/>
  </mergeCells>
  <pageMargins left="2.67708333333333" right="2.47986111111111" top="0.75" bottom="0.75" header="0.3" footer="0.3"/>
  <pageSetup paperSize="9" scale="9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D19"/>
  <sheetViews>
    <sheetView view="pageBreakPreview" zoomScaleNormal="100" topLeftCell="A3" workbookViewId="0">
      <selection activeCell="B3" sqref="B3"/>
    </sheetView>
  </sheetViews>
  <sheetFormatPr defaultColWidth="9" defaultRowHeight="30" customHeight="1" outlineLevelCol="3"/>
  <cols>
    <col min="1" max="1" width="12.8796296296296" customWidth="1"/>
    <col min="2" max="2" width="47.2222222222222" customWidth="1"/>
    <col min="3" max="3" width="16.7777777777778" customWidth="1"/>
    <col min="4" max="4" width="15.7777777777778" customWidth="1"/>
  </cols>
  <sheetData>
    <row r="1" customHeight="1" spans="1:4">
      <c r="A1" s="10" t="s">
        <v>85</v>
      </c>
      <c r="B1" s="10" t="s">
        <v>0</v>
      </c>
      <c r="C1" s="10" t="s">
        <v>0</v>
      </c>
      <c r="D1" s="10" t="s">
        <v>0</v>
      </c>
    </row>
    <row r="2" customHeight="1" spans="1:4">
      <c r="A2" s="74" t="s">
        <v>24</v>
      </c>
      <c r="B2" s="2" t="s">
        <v>86</v>
      </c>
      <c r="C2" s="2"/>
      <c r="D2" s="9" t="s">
        <v>47</v>
      </c>
    </row>
    <row r="3" customHeight="1" spans="1:4">
      <c r="A3" s="3" t="s">
        <v>32</v>
      </c>
      <c r="B3" s="3" t="s">
        <v>56</v>
      </c>
      <c r="C3" s="3" t="s">
        <v>57</v>
      </c>
      <c r="D3" s="3" t="s">
        <v>58</v>
      </c>
    </row>
    <row r="4" customHeight="1" spans="1:4">
      <c r="A4" s="3" t="s">
        <v>53</v>
      </c>
      <c r="B4" s="8" t="s">
        <v>59</v>
      </c>
      <c r="C4" s="15">
        <f>'D1-1 分部分项工程量清单计价表【集约人工林栽培‖ZL型】'!L6</f>
        <v>378837.6915</v>
      </c>
      <c r="D4" s="18" t="s">
        <v>9</v>
      </c>
    </row>
    <row r="5" customHeight="1" spans="1:4">
      <c r="A5" s="3" t="s">
        <v>60</v>
      </c>
      <c r="B5" s="8" t="s">
        <v>61</v>
      </c>
      <c r="C5" s="15">
        <f>'E.1分部分项工程总价措施项目清单计价表-ZL型'!I18</f>
        <v>5166.9265</v>
      </c>
      <c r="D5" s="3" t="s">
        <v>43</v>
      </c>
    </row>
    <row r="6" customHeight="1" spans="1:4">
      <c r="A6" s="3" t="s">
        <v>62</v>
      </c>
      <c r="B6" s="8" t="s">
        <v>63</v>
      </c>
      <c r="C6" s="3">
        <f>'E.1分部分项工程总价措施项目清单计价表-ZL型'!I6</f>
        <v>5166.9265</v>
      </c>
      <c r="D6" s="3" t="s">
        <v>43</v>
      </c>
    </row>
    <row r="7" customHeight="1" spans="1:4">
      <c r="A7" s="3" t="s">
        <v>64</v>
      </c>
      <c r="B7" s="8" t="s">
        <v>65</v>
      </c>
      <c r="C7" s="3">
        <f>SUM(C8:C11)</f>
        <v>0</v>
      </c>
      <c r="D7" s="3" t="s">
        <v>43</v>
      </c>
    </row>
    <row r="8" customHeight="1" spans="1:4">
      <c r="A8" s="3" t="s">
        <v>66</v>
      </c>
      <c r="B8" s="8" t="s">
        <v>67</v>
      </c>
      <c r="C8" s="3">
        <f>'F1.1暂列金额明细表（ZL型）'!D19</f>
        <v>0</v>
      </c>
      <c r="D8" s="3" t="s">
        <v>43</v>
      </c>
    </row>
    <row r="9" customHeight="1" spans="1:4">
      <c r="A9" s="3" t="s">
        <v>68</v>
      </c>
      <c r="B9" s="8" t="s">
        <v>69</v>
      </c>
      <c r="C9" s="3"/>
      <c r="D9" s="3" t="s">
        <v>43</v>
      </c>
    </row>
    <row r="10" customHeight="1" spans="1:4">
      <c r="A10" s="3" t="s">
        <v>70</v>
      </c>
      <c r="B10" s="8" t="s">
        <v>71</v>
      </c>
      <c r="C10" s="3"/>
      <c r="D10" s="3" t="s">
        <v>43</v>
      </c>
    </row>
    <row r="11" customHeight="1" spans="1:4">
      <c r="A11" s="3" t="s">
        <v>72</v>
      </c>
      <c r="B11" s="8" t="s">
        <v>73</v>
      </c>
      <c r="C11" s="3"/>
      <c r="D11" s="3" t="s">
        <v>43</v>
      </c>
    </row>
    <row r="12" customHeight="1" spans="1:4">
      <c r="A12" s="3" t="s">
        <v>74</v>
      </c>
      <c r="B12" s="8" t="s">
        <v>39</v>
      </c>
      <c r="C12" s="3">
        <f>'G.1规费、税金项目清单计价表-ZL型'!F6</f>
        <v>9652.97</v>
      </c>
      <c r="D12" s="3" t="s">
        <v>43</v>
      </c>
    </row>
    <row r="13" customHeight="1" spans="1:4">
      <c r="A13" s="3" t="s">
        <v>75</v>
      </c>
      <c r="B13" s="8" t="s">
        <v>76</v>
      </c>
      <c r="C13" s="3"/>
      <c r="D13" s="3" t="s">
        <v>43</v>
      </c>
    </row>
    <row r="14" customHeight="1" spans="1:4">
      <c r="A14" s="3" t="s">
        <v>77</v>
      </c>
      <c r="B14" s="8" t="s">
        <v>78</v>
      </c>
      <c r="C14" s="17">
        <f>C4+C5+C7+C12</f>
        <v>393657.588</v>
      </c>
      <c r="D14" s="3" t="s">
        <v>43</v>
      </c>
    </row>
    <row r="15" customHeight="1" spans="1:4">
      <c r="A15" s="3" t="s">
        <v>79</v>
      </c>
      <c r="B15" s="8" t="s">
        <v>80</v>
      </c>
      <c r="C15" s="3"/>
      <c r="D15" s="3" t="s">
        <v>43</v>
      </c>
    </row>
    <row r="16" customHeight="1" spans="1:4">
      <c r="A16" s="3" t="s">
        <v>81</v>
      </c>
      <c r="B16" s="8" t="s">
        <v>82</v>
      </c>
      <c r="C16" s="3">
        <f>'G.1规费、税金项目清单计价表-ZL型'!F7</f>
        <v>35429.18</v>
      </c>
      <c r="D16" s="3" t="s">
        <v>43</v>
      </c>
    </row>
    <row r="17" customHeight="1" spans="1:4">
      <c r="A17" s="3">
        <v>8</v>
      </c>
      <c r="B17" s="8" t="s">
        <v>83</v>
      </c>
      <c r="C17" s="3">
        <f>'G.1规费、税金项目清单计价表-ZL型'!F8</f>
        <v>0</v>
      </c>
      <c r="D17" s="18" t="s">
        <v>0</v>
      </c>
    </row>
    <row r="18" customHeight="1" spans="1:4">
      <c r="A18" s="3" t="s">
        <v>0</v>
      </c>
      <c r="B18" s="8" t="s">
        <v>0</v>
      </c>
      <c r="C18" s="3" t="s">
        <v>0</v>
      </c>
      <c r="D18" s="18" t="s">
        <v>0</v>
      </c>
    </row>
    <row r="19" customHeight="1" spans="1:4">
      <c r="A19" s="3" t="s">
        <v>84</v>
      </c>
      <c r="B19" s="3" t="s">
        <v>0</v>
      </c>
      <c r="C19" s="17">
        <f>C14+C16+C17</f>
        <v>429086.768</v>
      </c>
      <c r="D19" s="18" t="s">
        <v>9</v>
      </c>
    </row>
  </sheetData>
  <mergeCells count="3">
    <mergeCell ref="A1:D1"/>
    <mergeCell ref="B2:C2"/>
    <mergeCell ref="A19:B19"/>
  </mergeCells>
  <pageMargins left="2.6375" right="2.6375" top="0.75" bottom="0.75" header="0.3" footer="0.3"/>
  <pageSetup paperSize="9" scale="9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F14"/>
  <sheetViews>
    <sheetView view="pageBreakPreview" zoomScaleNormal="100" workbookViewId="0">
      <selection activeCell="B3" sqref="B3:C4"/>
    </sheetView>
  </sheetViews>
  <sheetFormatPr defaultColWidth="9" defaultRowHeight="30" customHeight="1" outlineLevelCol="5"/>
  <cols>
    <col min="1" max="1" width="12.8796296296296" customWidth="1"/>
    <col min="4" max="6" width="19.5555555555556" customWidth="1"/>
  </cols>
  <sheetData>
    <row r="1" customHeight="1" spans="1:6">
      <c r="A1" s="10" t="s">
        <v>45</v>
      </c>
      <c r="B1" s="10" t="s">
        <v>0</v>
      </c>
      <c r="C1" s="10" t="s">
        <v>0</v>
      </c>
      <c r="D1" s="10" t="s">
        <v>0</v>
      </c>
      <c r="E1" s="10" t="s">
        <v>0</v>
      </c>
      <c r="F1" s="10" t="s">
        <v>0</v>
      </c>
    </row>
    <row r="2" customHeight="1" spans="1:6">
      <c r="A2" s="74" t="s">
        <v>24</v>
      </c>
      <c r="B2" s="2" t="s">
        <v>87</v>
      </c>
      <c r="C2" s="2"/>
      <c r="D2" s="2"/>
      <c r="E2" s="2"/>
      <c r="F2" s="9" t="s">
        <v>47</v>
      </c>
    </row>
    <row r="3" customHeight="1" spans="1:6">
      <c r="A3" s="3" t="s">
        <v>48</v>
      </c>
      <c r="B3" s="3" t="s">
        <v>49</v>
      </c>
      <c r="C3" s="3" t="s">
        <v>0</v>
      </c>
      <c r="D3" s="3" t="s">
        <v>50</v>
      </c>
      <c r="E3" s="3" t="s">
        <v>51</v>
      </c>
      <c r="F3" s="3" t="s">
        <v>0</v>
      </c>
    </row>
    <row r="4" customHeight="1" spans="1:6">
      <c r="A4" s="3" t="s">
        <v>0</v>
      </c>
      <c r="B4" s="3" t="s">
        <v>0</v>
      </c>
      <c r="C4" s="3" t="s">
        <v>0</v>
      </c>
      <c r="D4" s="3" t="s">
        <v>0</v>
      </c>
      <c r="E4" s="3" t="s">
        <v>52</v>
      </c>
      <c r="F4" s="3" t="s">
        <v>39</v>
      </c>
    </row>
    <row r="5" customHeight="1" spans="1:6">
      <c r="A5" s="3" t="s">
        <v>53</v>
      </c>
      <c r="B5" s="114" t="s">
        <v>88</v>
      </c>
      <c r="C5" s="115"/>
      <c r="D5" s="116">
        <f>'C1-3单位工程预算汇总表-FY型'!C19</f>
        <v>0</v>
      </c>
      <c r="E5" s="3">
        <f>'C1-3单位工程预算汇总表-FY型'!C6</f>
        <v>0</v>
      </c>
      <c r="F5" s="3">
        <f>'C1-3单位工程预算汇总表-FY型'!C12</f>
        <v>0</v>
      </c>
    </row>
    <row r="6" customHeight="1" spans="1:6">
      <c r="A6" s="3"/>
      <c r="B6" s="114"/>
      <c r="C6" s="115"/>
      <c r="D6" s="117"/>
      <c r="E6" s="18"/>
      <c r="F6" s="18"/>
    </row>
    <row r="7" customHeight="1" spans="1:6">
      <c r="A7" s="3"/>
      <c r="B7" s="114"/>
      <c r="C7" s="115"/>
      <c r="D7" s="117"/>
      <c r="E7" s="18"/>
      <c r="F7" s="18"/>
    </row>
    <row r="8" customHeight="1" spans="1:6">
      <c r="A8" s="3"/>
      <c r="B8" s="114"/>
      <c r="C8" s="115"/>
      <c r="D8" s="18"/>
      <c r="E8" s="18"/>
      <c r="F8" s="18"/>
    </row>
    <row r="9" customHeight="1" spans="1:6">
      <c r="A9" s="3"/>
      <c r="B9" s="114"/>
      <c r="C9" s="115"/>
      <c r="D9" s="18"/>
      <c r="E9" s="18"/>
      <c r="F9" s="18"/>
    </row>
    <row r="10" customHeight="1" spans="1:6">
      <c r="A10" s="3" t="s">
        <v>0</v>
      </c>
      <c r="B10" s="8" t="s">
        <v>0</v>
      </c>
      <c r="C10" s="8" t="s">
        <v>0</v>
      </c>
      <c r="D10" s="18" t="s">
        <v>0</v>
      </c>
      <c r="E10" s="18" t="s">
        <v>0</v>
      </c>
      <c r="F10" s="18" t="s">
        <v>0</v>
      </c>
    </row>
    <row r="11" customHeight="1" spans="1:6">
      <c r="A11" s="3" t="s">
        <v>0</v>
      </c>
      <c r="B11" s="8" t="s">
        <v>0</v>
      </c>
      <c r="C11" s="8" t="s">
        <v>0</v>
      </c>
      <c r="D11" s="18" t="s">
        <v>0</v>
      </c>
      <c r="E11" s="18" t="s">
        <v>0</v>
      </c>
      <c r="F11" s="18" t="s">
        <v>0</v>
      </c>
    </row>
    <row r="12" customHeight="1" spans="1:6">
      <c r="A12" s="3" t="s">
        <v>0</v>
      </c>
      <c r="B12" s="8" t="s">
        <v>0</v>
      </c>
      <c r="C12" s="8" t="s">
        <v>0</v>
      </c>
      <c r="D12" s="18" t="s">
        <v>0</v>
      </c>
      <c r="E12" s="18" t="s">
        <v>0</v>
      </c>
      <c r="F12" s="18" t="s">
        <v>0</v>
      </c>
    </row>
    <row r="13" customHeight="1" spans="1:6">
      <c r="A13" s="3" t="s">
        <v>0</v>
      </c>
      <c r="B13" s="8" t="s">
        <v>0</v>
      </c>
      <c r="C13" s="8" t="s">
        <v>0</v>
      </c>
      <c r="D13" s="18" t="s">
        <v>0</v>
      </c>
      <c r="E13" s="18" t="s">
        <v>0</v>
      </c>
      <c r="F13" s="18" t="s">
        <v>0</v>
      </c>
    </row>
    <row r="14" customHeight="1" spans="1:6">
      <c r="A14" s="3" t="s">
        <v>55</v>
      </c>
      <c r="B14" s="3" t="s">
        <v>0</v>
      </c>
      <c r="C14" s="3" t="s">
        <v>0</v>
      </c>
      <c r="D14" s="3">
        <f>SUM(D5:D13)</f>
        <v>0</v>
      </c>
      <c r="E14" s="3">
        <f>SUM(E5:E13)</f>
        <v>0</v>
      </c>
      <c r="F14" s="3">
        <f>SUM(F5:F13)</f>
        <v>0</v>
      </c>
    </row>
  </sheetData>
  <mergeCells count="16">
    <mergeCell ref="A1:F1"/>
    <mergeCell ref="B2:E2"/>
    <mergeCell ref="E3:F3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A14:C14"/>
    <mergeCell ref="A3:A4"/>
    <mergeCell ref="D3:D4"/>
    <mergeCell ref="B3:C4"/>
  </mergeCells>
  <pageMargins left="1.65347222222222" right="1.69236111111111" top="0.75" bottom="0.75" header="0.3" footer="0.3"/>
  <pageSetup paperSize="9" scale="12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D19"/>
  <sheetViews>
    <sheetView view="pageBreakPreview" zoomScaleNormal="100" workbookViewId="0">
      <selection activeCell="B3" sqref="B3"/>
    </sheetView>
  </sheetViews>
  <sheetFormatPr defaultColWidth="9" defaultRowHeight="30" customHeight="1" outlineLevelCol="3"/>
  <cols>
    <col min="1" max="1" width="12.8796296296296" customWidth="1"/>
    <col min="2" max="2" width="47.2222222222222" customWidth="1"/>
    <col min="3" max="3" width="16.7777777777778" customWidth="1"/>
    <col min="4" max="4" width="15.7777777777778" customWidth="1"/>
  </cols>
  <sheetData>
    <row r="1" customHeight="1" spans="1:4">
      <c r="A1" s="10" t="s">
        <v>45</v>
      </c>
      <c r="B1" s="10" t="s">
        <v>0</v>
      </c>
      <c r="C1" s="10" t="s">
        <v>0</v>
      </c>
      <c r="D1" s="10" t="s">
        <v>0</v>
      </c>
    </row>
    <row r="2" customHeight="1" spans="1:4">
      <c r="A2" s="74" t="s">
        <v>24</v>
      </c>
      <c r="B2" s="2" t="s">
        <v>87</v>
      </c>
      <c r="C2" s="2"/>
      <c r="D2" s="9" t="s">
        <v>47</v>
      </c>
    </row>
    <row r="3" customHeight="1" spans="1:4">
      <c r="A3" s="3" t="s">
        <v>32</v>
      </c>
      <c r="B3" s="3" t="s">
        <v>56</v>
      </c>
      <c r="C3" s="3" t="s">
        <v>57</v>
      </c>
      <c r="D3" s="3" t="s">
        <v>58</v>
      </c>
    </row>
    <row r="4" customHeight="1" spans="1:4">
      <c r="A4" s="3" t="s">
        <v>53</v>
      </c>
      <c r="B4" s="8" t="s">
        <v>59</v>
      </c>
      <c r="C4" s="15">
        <f>'C1-3单位工程预算汇总表-FY型'!C4+'C1-3单位工程预算汇总表-FY型'!C24+'C1-3单位工程预算汇总表-FY型'!C44</f>
        <v>0</v>
      </c>
      <c r="D4" s="18" t="s">
        <v>9</v>
      </c>
    </row>
    <row r="5" customHeight="1" spans="1:4">
      <c r="A5" s="3" t="s">
        <v>60</v>
      </c>
      <c r="B5" s="8" t="s">
        <v>61</v>
      </c>
      <c r="C5" s="15">
        <f>'C1-3单位工程预算汇总表-FY型'!C5+'C1-3单位工程预算汇总表-FY型'!C25+'C1-3单位工程预算汇总表-FY型'!C45</f>
        <v>0</v>
      </c>
      <c r="D5" s="3" t="s">
        <v>43</v>
      </c>
    </row>
    <row r="6" customHeight="1" spans="1:4">
      <c r="A6" s="3" t="s">
        <v>62</v>
      </c>
      <c r="B6" s="8" t="s">
        <v>63</v>
      </c>
      <c r="C6" s="15">
        <f>'C1-3单位工程预算汇总表-FY型'!C6+'C1-3单位工程预算汇总表-FY型'!C26+'C1-3单位工程预算汇总表-FY型'!C46</f>
        <v>0</v>
      </c>
      <c r="D6" s="3" t="s">
        <v>43</v>
      </c>
    </row>
    <row r="7" customHeight="1" spans="1:4">
      <c r="A7" s="3" t="s">
        <v>64</v>
      </c>
      <c r="B7" s="8" t="s">
        <v>65</v>
      </c>
      <c r="C7" s="15">
        <f>'C1-3单位工程预算汇总表-FY型'!C7+'C1-3单位工程预算汇总表-FY型'!C27+'C1-3单位工程预算汇总表-FY型'!C47</f>
        <v>0</v>
      </c>
      <c r="D7" s="3" t="s">
        <v>43</v>
      </c>
    </row>
    <row r="8" customHeight="1" spans="1:4">
      <c r="A8" s="3" t="s">
        <v>66</v>
      </c>
      <c r="B8" s="8" t="s">
        <v>67</v>
      </c>
      <c r="C8" s="15">
        <f>'C1-3单位工程预算汇总表-FY型'!C8+'C1-3单位工程预算汇总表-FY型'!C28+'C1-3单位工程预算汇总表-FY型'!C48</f>
        <v>0</v>
      </c>
      <c r="D8" s="3" t="s">
        <v>43</v>
      </c>
    </row>
    <row r="9" customHeight="1" spans="1:4">
      <c r="A9" s="3" t="s">
        <v>68</v>
      </c>
      <c r="B9" s="8" t="s">
        <v>69</v>
      </c>
      <c r="C9" s="15"/>
      <c r="D9" s="3" t="s">
        <v>43</v>
      </c>
    </row>
    <row r="10" customHeight="1" spans="1:4">
      <c r="A10" s="3" t="s">
        <v>70</v>
      </c>
      <c r="B10" s="8" t="s">
        <v>71</v>
      </c>
      <c r="C10" s="15"/>
      <c r="D10" s="3" t="s">
        <v>43</v>
      </c>
    </row>
    <row r="11" customHeight="1" spans="1:4">
      <c r="A11" s="3" t="s">
        <v>72</v>
      </c>
      <c r="B11" s="8" t="s">
        <v>73</v>
      </c>
      <c r="C11" s="15"/>
      <c r="D11" s="3" t="s">
        <v>43</v>
      </c>
    </row>
    <row r="12" customHeight="1" spans="1:4">
      <c r="A12" s="3" t="s">
        <v>74</v>
      </c>
      <c r="B12" s="8" t="s">
        <v>39</v>
      </c>
      <c r="C12" s="15">
        <f>'C1-3单位工程预算汇总表-FY型'!C12+'C1-3单位工程预算汇总表-FY型'!C32+'C1-3单位工程预算汇总表-FY型'!C52</f>
        <v>0</v>
      </c>
      <c r="D12" s="3" t="s">
        <v>43</v>
      </c>
    </row>
    <row r="13" customHeight="1" spans="1:4">
      <c r="A13" s="3" t="s">
        <v>75</v>
      </c>
      <c r="B13" s="8" t="s">
        <v>76</v>
      </c>
      <c r="C13" s="15"/>
      <c r="D13" s="3" t="s">
        <v>43</v>
      </c>
    </row>
    <row r="14" customHeight="1" spans="1:4">
      <c r="A14" s="3" t="s">
        <v>77</v>
      </c>
      <c r="B14" s="8" t="s">
        <v>78</v>
      </c>
      <c r="C14" s="15">
        <f>'C1-3单位工程预算汇总表-FY型'!C14+'C1-3单位工程预算汇总表-FY型'!C34+'C1-3单位工程预算汇总表-FY型'!C54</f>
        <v>0</v>
      </c>
      <c r="D14" s="3" t="s">
        <v>43</v>
      </c>
    </row>
    <row r="15" customHeight="1" spans="1:4">
      <c r="A15" s="3" t="s">
        <v>79</v>
      </c>
      <c r="B15" s="8" t="s">
        <v>80</v>
      </c>
      <c r="C15" s="15"/>
      <c r="D15" s="3" t="s">
        <v>43</v>
      </c>
    </row>
    <row r="16" customHeight="1" spans="1:4">
      <c r="A16" s="3" t="s">
        <v>81</v>
      </c>
      <c r="B16" s="8" t="s">
        <v>82</v>
      </c>
      <c r="C16" s="15">
        <f>'C1-3单位工程预算汇总表-FY型'!C16+'C1-3单位工程预算汇总表-FY型'!C36+'C1-3单位工程预算汇总表-FY型'!C56</f>
        <v>0</v>
      </c>
      <c r="D16" s="3" t="s">
        <v>43</v>
      </c>
    </row>
    <row r="17" customHeight="1" spans="1:4">
      <c r="A17" s="3">
        <v>8</v>
      </c>
      <c r="B17" s="8" t="s">
        <v>83</v>
      </c>
      <c r="C17" s="15">
        <f>'C1-3单位工程预算汇总表-FY型'!C17+'C1-3单位工程预算汇总表-FY型'!C37+'C1-3单位工程预算汇总表-FY型'!C57</f>
        <v>0</v>
      </c>
      <c r="D17" s="18" t="s">
        <v>0</v>
      </c>
    </row>
    <row r="18" customHeight="1" spans="1:4">
      <c r="A18" s="3" t="s">
        <v>0</v>
      </c>
      <c r="B18" s="8" t="s">
        <v>0</v>
      </c>
      <c r="C18" s="15"/>
      <c r="D18" s="18" t="s">
        <v>0</v>
      </c>
    </row>
    <row r="19" customHeight="1" spans="1:4">
      <c r="A19" s="3" t="s">
        <v>84</v>
      </c>
      <c r="B19" s="3" t="s">
        <v>0</v>
      </c>
      <c r="C19" s="15">
        <f>'C1-3单位工程预算汇总表-FY型'!C19+'C1-3单位工程预算汇总表-FY型'!C39+'C1-3单位工程预算汇总表-FY型'!C59</f>
        <v>0</v>
      </c>
      <c r="D19" s="18" t="s">
        <v>9</v>
      </c>
    </row>
  </sheetData>
  <mergeCells count="3">
    <mergeCell ref="A1:D1"/>
    <mergeCell ref="B2:C2"/>
    <mergeCell ref="A19:B19"/>
  </mergeCells>
  <pageMargins left="2.6375" right="2.59791666666667" top="0.75" bottom="0.75" header="0.3" footer="0.3"/>
  <pageSetup paperSize="9" scale="9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D59"/>
  <sheetViews>
    <sheetView view="pageBreakPreview" zoomScaleNormal="100" workbookViewId="0">
      <selection activeCell="B3" sqref="B3"/>
    </sheetView>
  </sheetViews>
  <sheetFormatPr defaultColWidth="9" defaultRowHeight="14.4" outlineLevelCol="3"/>
  <cols>
    <col min="1" max="1" width="12.8796296296296" customWidth="1"/>
    <col min="2" max="2" width="47.2222222222222" customWidth="1"/>
    <col min="3" max="3" width="16.7777777777778" customWidth="1"/>
    <col min="4" max="4" width="15.7777777777778" customWidth="1"/>
  </cols>
  <sheetData>
    <row r="1" ht="31.8" customHeight="1" spans="1:4">
      <c r="A1" s="10" t="s">
        <v>85</v>
      </c>
      <c r="B1" s="10" t="s">
        <v>0</v>
      </c>
      <c r="C1" s="10" t="s">
        <v>0</v>
      </c>
      <c r="D1" s="10" t="s">
        <v>0</v>
      </c>
    </row>
    <row r="2" ht="31.2" customHeight="1" spans="1:4">
      <c r="A2" s="74" t="s">
        <v>24</v>
      </c>
      <c r="B2" s="2" t="s">
        <v>89</v>
      </c>
      <c r="C2" s="2"/>
      <c r="D2" s="9" t="s">
        <v>47</v>
      </c>
    </row>
    <row r="3" ht="30" customHeight="1" spans="1:4">
      <c r="A3" s="3" t="s">
        <v>32</v>
      </c>
      <c r="B3" s="3" t="s">
        <v>56</v>
      </c>
      <c r="C3" s="3" t="s">
        <v>57</v>
      </c>
      <c r="D3" s="3" t="s">
        <v>58</v>
      </c>
    </row>
    <row r="4" ht="30" customHeight="1" spans="1:4">
      <c r="A4" s="3" t="s">
        <v>53</v>
      </c>
      <c r="B4" s="8" t="s">
        <v>59</v>
      </c>
      <c r="C4" s="15">
        <f>'D1-1 分部分项工程量清单计价表【中幼龄林抚育‖FY】'!L6</f>
        <v>0</v>
      </c>
      <c r="D4" s="18" t="s">
        <v>9</v>
      </c>
    </row>
    <row r="5" ht="30" customHeight="1" spans="1:4">
      <c r="A5" s="3" t="s">
        <v>60</v>
      </c>
      <c r="B5" s="8" t="s">
        <v>61</v>
      </c>
      <c r="C5" s="15">
        <f>'E.1分部分项工程总价措施项目清单计价表-FY型'!I18</f>
        <v>0</v>
      </c>
      <c r="D5" s="3" t="s">
        <v>43</v>
      </c>
    </row>
    <row r="6" ht="30" customHeight="1" spans="1:4">
      <c r="A6" s="3" t="s">
        <v>62</v>
      </c>
      <c r="B6" s="8" t="s">
        <v>63</v>
      </c>
      <c r="C6" s="3">
        <f>'E.1分部分项工程总价措施项目清单计价表-FY型'!I6</f>
        <v>0</v>
      </c>
      <c r="D6" s="3" t="s">
        <v>43</v>
      </c>
    </row>
    <row r="7" ht="30" customHeight="1" spans="1:4">
      <c r="A7" s="3" t="s">
        <v>64</v>
      </c>
      <c r="B7" s="8" t="s">
        <v>65</v>
      </c>
      <c r="C7" s="3">
        <f>SUM(C8:C11)</f>
        <v>0</v>
      </c>
      <c r="D7" s="3" t="s">
        <v>43</v>
      </c>
    </row>
    <row r="8" ht="30" customHeight="1" spans="1:4">
      <c r="A8" s="3" t="s">
        <v>66</v>
      </c>
      <c r="B8" s="8" t="s">
        <v>67</v>
      </c>
      <c r="C8" s="3">
        <f>'F1.1暂列金额明细表（FY型）'!D26</f>
        <v>0</v>
      </c>
      <c r="D8" s="3" t="s">
        <v>43</v>
      </c>
    </row>
    <row r="9" ht="30" customHeight="1" spans="1:4">
      <c r="A9" s="3" t="s">
        <v>68</v>
      </c>
      <c r="B9" s="8" t="s">
        <v>69</v>
      </c>
      <c r="C9" s="3"/>
      <c r="D9" s="3" t="s">
        <v>43</v>
      </c>
    </row>
    <row r="10" ht="30" customHeight="1" spans="1:4">
      <c r="A10" s="3" t="s">
        <v>70</v>
      </c>
      <c r="B10" s="8" t="s">
        <v>71</v>
      </c>
      <c r="C10" s="3"/>
      <c r="D10" s="3" t="s">
        <v>43</v>
      </c>
    </row>
    <row r="11" ht="30" customHeight="1" spans="1:4">
      <c r="A11" s="3" t="s">
        <v>72</v>
      </c>
      <c r="B11" s="8" t="s">
        <v>73</v>
      </c>
      <c r="C11" s="3"/>
      <c r="D11" s="3" t="s">
        <v>43</v>
      </c>
    </row>
    <row r="12" ht="30" customHeight="1" spans="1:4">
      <c r="A12" s="3" t="s">
        <v>74</v>
      </c>
      <c r="B12" s="8" t="s">
        <v>39</v>
      </c>
      <c r="C12" s="3">
        <f>'G.1规费、税金项目清单计价表-FY型'!F6</f>
        <v>0</v>
      </c>
      <c r="D12" s="3" t="s">
        <v>43</v>
      </c>
    </row>
    <row r="13" ht="30" customHeight="1" spans="1:4">
      <c r="A13" s="3" t="s">
        <v>75</v>
      </c>
      <c r="B13" s="8" t="s">
        <v>76</v>
      </c>
      <c r="C13" s="3"/>
      <c r="D13" s="3" t="s">
        <v>43</v>
      </c>
    </row>
    <row r="14" ht="30" customHeight="1" spans="1:4">
      <c r="A14" s="3" t="s">
        <v>77</v>
      </c>
      <c r="B14" s="8" t="s">
        <v>78</v>
      </c>
      <c r="C14" s="17">
        <f>C4+C5+C7+C12</f>
        <v>0</v>
      </c>
      <c r="D14" s="3" t="s">
        <v>43</v>
      </c>
    </row>
    <row r="15" ht="30" customHeight="1" spans="1:4">
      <c r="A15" s="3" t="s">
        <v>79</v>
      </c>
      <c r="B15" s="8" t="s">
        <v>80</v>
      </c>
      <c r="C15" s="3"/>
      <c r="D15" s="3" t="s">
        <v>43</v>
      </c>
    </row>
    <row r="16" ht="30" customHeight="1" spans="1:4">
      <c r="A16" s="3" t="s">
        <v>81</v>
      </c>
      <c r="B16" s="8" t="s">
        <v>82</v>
      </c>
      <c r="C16" s="3">
        <f>'G.1规费、税金项目清单计价表-FY型'!F7</f>
        <v>0</v>
      </c>
      <c r="D16" s="3" t="s">
        <v>43</v>
      </c>
    </row>
    <row r="17" ht="30" customHeight="1" spans="1:4">
      <c r="A17" s="3">
        <v>8</v>
      </c>
      <c r="B17" s="8" t="s">
        <v>83</v>
      </c>
      <c r="C17" s="3">
        <f>'G.1规费、税金项目清单计价表-FY型'!F8</f>
        <v>0</v>
      </c>
      <c r="D17" s="18" t="s">
        <v>0</v>
      </c>
    </row>
    <row r="18" ht="30" customHeight="1" spans="1:4">
      <c r="A18" s="3" t="s">
        <v>0</v>
      </c>
      <c r="B18" s="8" t="s">
        <v>0</v>
      </c>
      <c r="C18" s="3" t="s">
        <v>0</v>
      </c>
      <c r="D18" s="18" t="s">
        <v>0</v>
      </c>
    </row>
    <row r="19" ht="30" customHeight="1" spans="1:4">
      <c r="A19" s="3" t="s">
        <v>84</v>
      </c>
      <c r="B19" s="3" t="s">
        <v>0</v>
      </c>
      <c r="C19" s="17">
        <f>C14+C16+C17</f>
        <v>0</v>
      </c>
      <c r="D19" s="18" t="s">
        <v>9</v>
      </c>
    </row>
    <row r="21" ht="28.8" customHeight="1"/>
    <row r="22" ht="37.2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</sheetData>
  <mergeCells count="3">
    <mergeCell ref="A1:D1"/>
    <mergeCell ref="B2:C2"/>
    <mergeCell ref="A19:B19"/>
  </mergeCells>
  <pageMargins left="2.6375" right="2.6375" top="0.75" bottom="0.75" header="0.354166666666667" footer="0.3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36</vt:i4>
      </vt:variant>
    </vt:vector>
  </HeadingPairs>
  <TitlesOfParts>
    <vt:vector size="36" baseType="lpstr">
      <vt:lpstr>C.2 工程项目招标控制价扉页(扉-2)</vt:lpstr>
      <vt:lpstr>B1 清单报价总说明</vt:lpstr>
      <vt:lpstr>C1 工程项目投标总价表</vt:lpstr>
      <vt:lpstr>C1-1单项工程预算汇总表-ZL型</vt:lpstr>
      <vt:lpstr>C1-2单项工程预算汇总表-ZL型</vt:lpstr>
      <vt:lpstr>C1-3单位工程预算汇总表-ZL型</vt:lpstr>
      <vt:lpstr>C1-1单项工程预算汇总表-FY型</vt:lpstr>
      <vt:lpstr>C1-2单项工程预算汇总表-FY型</vt:lpstr>
      <vt:lpstr>C1-3单位工程预算汇总表-FY型</vt:lpstr>
      <vt:lpstr>C1-1单项工程预算汇总表-GP型</vt:lpstr>
      <vt:lpstr>C1-2单项工程预算汇总表-GP型</vt:lpstr>
      <vt:lpstr>C1-3单位工程预算汇总表-GP型</vt:lpstr>
      <vt:lpstr>D1-1 分部分项工程量清单计价表【集约人工林栽培‖ZL型】</vt:lpstr>
      <vt:lpstr>D3-3 分部分项工程量清单综合单价计算表(分页不带材料)~1</vt:lpstr>
      <vt:lpstr>D3-4 分部分项工程量清单综合单价计算表(分页带材料)ZL型</vt:lpstr>
      <vt:lpstr>E.1分部分项工程总价措施项目清单计价表-ZL型</vt:lpstr>
      <vt:lpstr>F.1其他项目清单与计价汇总表(ZL型）</vt:lpstr>
      <vt:lpstr>F1.1暂列金额明细表（ZL型）</vt:lpstr>
      <vt:lpstr>G.1规费、税金项目清单计价表-ZL型</vt:lpstr>
      <vt:lpstr>H1 主要材料价格表【集约人工林栽培‖ZL型】</vt:lpstr>
      <vt:lpstr>D1-1 分部分项工程量清单计价表【中幼龄林抚育‖FY】</vt:lpstr>
      <vt:lpstr>D3-3 分部分项工程量清单综合单价计算表(分页不带材料)~2</vt:lpstr>
      <vt:lpstr>D3-4 分部分项工程量清单综合单价计算表(分页带材料)【中~</vt:lpstr>
      <vt:lpstr>E.1分部分项工程总价措施项目清单计价表-FY型</vt:lpstr>
      <vt:lpstr>F.1其他项目清单与计价汇总表(FY型）</vt:lpstr>
      <vt:lpstr>F1.1暂列金额明细表（FY型）</vt:lpstr>
      <vt:lpstr>G.1规费、税金项目清单计价表-FY型</vt:lpstr>
      <vt:lpstr>H1 主要材料价格表【中幼龄林抚育‖FY】</vt:lpstr>
      <vt:lpstr>D1-1 分部分项工程量清单计价表【现有林改培‖GP】</vt:lpstr>
      <vt:lpstr>D3-3 分部分项工程量清单综合单价计算表(分页不带材料)~3</vt:lpstr>
      <vt:lpstr>D3-4 分部分项工程量清单综合单价计算表(分页带材料)【现~</vt:lpstr>
      <vt:lpstr>E.1分部分项工程总价措施项目清单计价表-GP型</vt:lpstr>
      <vt:lpstr>F.1其他项目清单与计价汇总表(GP型）</vt:lpstr>
      <vt:lpstr>F1.1暂列金额明细表（GP型）</vt:lpstr>
      <vt:lpstr>G.1规费、税金项目清单计价表-GP型</vt:lpstr>
      <vt:lpstr>H1 主要材料价格表【现有林改培‖GP】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焦晋川</dc:creator>
  <cp:lastModifiedBy>蒋鑫</cp:lastModifiedBy>
  <dcterms:created xsi:type="dcterms:W3CDTF">2024-03-27T06:34:00Z</dcterms:created>
  <cp:lastPrinted>2024-07-29T10:15:00Z</cp:lastPrinted>
  <dcterms:modified xsi:type="dcterms:W3CDTF">2025-08-07T02:32:28Z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96CCE916F2CF402FAA4C036795566018_12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