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60" firstSheet="33" activeTab="35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44525"/>
</workbook>
</file>

<file path=xl/sharedStrings.xml><?xml version="1.0" encoding="utf-8"?>
<sst xmlns="http://schemas.openxmlformats.org/spreadsheetml/2006/main" count="6385" uniqueCount="531">
  <si>
    <t/>
  </si>
  <si>
    <t>遂宁市安居区国家储备林项目（一期）（二标段）（营造林建设项目）作业设计</t>
  </si>
  <si>
    <t>工程</t>
  </si>
  <si>
    <t>栽树专业分包1-常理镇、东禅镇控制价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</si>
  <si>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</si>
  <si>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</si>
  <si>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</si>
  <si>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</si>
  <si>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</si>
  <si>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</si>
  <si>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</si>
  <si>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</si>
  <si>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</si>
  <si>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</si>
  <si>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</si>
  <si>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</si>
  <si>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</si>
  <si>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</si>
  <si>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</si>
  <si>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</si>
  <si>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</si>
  <si>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</si>
  <si>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</si>
  <si>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</si>
  <si>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</si>
  <si>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遂宁市安居区国家储备林项目（一期）（二标段）（营造林建设项目）作业设计-栽树专业分包1-常理镇、东禅镇</t>
  </si>
  <si>
    <t>一、工程概况：
工程名称：遂宁市安居区国家储备林项目（一期）（二标段）（营造林建设项目）作业设计-栽树专业分包1-常理镇、东禅镇
建设单位：遂宁耀欣建筑工程有限公司
建设地点：遂宁市安居区国家储备林项目（一期）（二标段）（营造林建设项目）位于常理镇、东禅镇、2个乡镇。
工程规模：营造林工程总面积20000亩，其中：集约人工林栽培70.9亩，中幼林抚育0亩，现有林改培4260.5亩。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1、本次招标范围为：常理镇、东禅镇2个乡镇的集约人工林栽培70.9亩，中幼林抚育0亩，现有林改培4260.5亩中的造林全部内容。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</si>
  <si>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</si>
  <si>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</si>
  <si>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</si>
  <si>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</si>
  <si>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</si>
  <si>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</si>
  <si>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</si>
  <si>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</si>
  <si>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</si>
  <si>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</si>
  <si>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</si>
  <si>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</si>
  <si>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</si>
  <si>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</si>
  <si>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</si>
  <si>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</si>
  <si>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</si>
  <si>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</si>
  <si>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</si>
  <si>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</si>
  <si>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</si>
  <si>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</si>
  <si>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</si>
  <si>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</si>
  <si>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</si>
  <si>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</si>
  <si>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</si>
  <si>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</si>
  <si>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</si>
  <si>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</si>
  <si>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</si>
  <si>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</si>
  <si>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</si>
  <si>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</si>
  <si>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</si>
  <si>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</si>
  <si>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</si>
  <si>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</si>
  <si>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</si>
  <si>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</si>
  <si>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</si>
  <si>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</si>
  <si>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</si>
  <si>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</si>
  <si>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</si>
  <si>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</si>
  <si>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</si>
  <si>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</si>
  <si>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</si>
  <si>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</si>
  <si>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</si>
  <si>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</si>
  <si>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</si>
  <si>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</si>
  <si>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</si>
  <si>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</si>
  <si>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</si>
  <si>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</si>
  <si>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</si>
  <si>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</si>
  <si>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</si>
  <si>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</si>
  <si>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</si>
  <si>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</si>
  <si>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</si>
  <si>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</si>
  <si>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</si>
  <si>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</si>
  <si>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</si>
  <si>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</si>
  <si>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</si>
  <si>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</si>
  <si>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</si>
  <si>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</si>
  <si>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</si>
  <si>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</si>
  <si>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</si>
  <si>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</si>
  <si>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</si>
  <si>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</si>
  <si>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</si>
  <si>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</si>
  <si>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</si>
  <si>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</si>
  <si>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</si>
  <si>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</si>
  <si>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</si>
  <si>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</si>
  <si>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</si>
  <si>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</si>
  <si>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</si>
  <si>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</si>
  <si>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</si>
  <si>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</si>
  <si>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</si>
  <si>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FY101</t>
  </si>
  <si>
    <t>GP101</t>
  </si>
  <si>
    <t>GP102</t>
  </si>
  <si>
    <t>GP103</t>
  </si>
  <si>
    <t>GP104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</si>
  <si>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</si>
  <si>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</si>
  <si>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</si>
  <si>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</si>
  <si>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</si>
  <si>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</si>
  <si>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</si>
  <si>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</si>
  <si>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</si>
  <si>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</si>
  <si>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</si>
  <si>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</si>
  <si>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</si>
  <si>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</si>
  <si>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</si>
  <si>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</si>
  <si>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</si>
  <si>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</si>
  <si>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</si>
  <si>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</si>
  <si>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</si>
  <si>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</si>
  <si>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</si>
  <si>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</si>
  <si>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</si>
  <si>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</si>
  <si>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</si>
  <si>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</si>
  <si>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</si>
  <si>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</si>
  <si>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</si>
  <si>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</si>
  <si>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</si>
  <si>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</si>
  <si>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</si>
  <si>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</si>
  <si>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</si>
  <si>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</si>
  <si>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</si>
  <si>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</si>
  <si>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</si>
  <si>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</si>
  <si>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</si>
  <si>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</si>
  <si>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</si>
  <si>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</si>
  <si>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</si>
  <si>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</si>
  <si>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</si>
  <si>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</si>
  <si>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</si>
  <si>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</si>
  <si>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</si>
  <si>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</si>
  <si>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</si>
  <si>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</si>
  <si>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</si>
  <si>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</si>
  <si>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</si>
  <si>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</si>
  <si>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</si>
  <si>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</si>
  <si>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</si>
  <si>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</si>
  <si>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</si>
  <si>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</si>
  <si>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</si>
  <si>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</si>
  <si>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</si>
  <si>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</si>
  <si>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</si>
  <si>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</si>
  <si>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</si>
  <si>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</si>
  <si>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</si>
  <si>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</si>
  <si>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</si>
  <si>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</si>
  <si>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</si>
  <si>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</si>
  <si>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</si>
  <si>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</si>
  <si>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</si>
  <si>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</si>
  <si>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</si>
  <si>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</si>
  <si>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</si>
  <si>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</si>
  <si>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</si>
  <si>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</si>
  <si>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</si>
  <si>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</si>
  <si>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</si>
  <si>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</si>
  <si>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</si>
  <si>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</si>
  <si>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</si>
  <si>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</si>
  <si>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</si>
  <si>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</si>
  <si>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</si>
  <si>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</si>
  <si>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</si>
  <si>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</si>
  <si>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</si>
  <si>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</si>
  <si>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</si>
  <si>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</si>
  <si>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</si>
  <si>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</si>
  <si>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</si>
  <si>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</si>
  <si>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</si>
  <si>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</si>
  <si>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</si>
  <si>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</si>
  <si>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</si>
  <si>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</si>
  <si>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</si>
  <si>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</si>
  <si>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</si>
  <si>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</si>
  <si>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</si>
  <si>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</si>
  <si>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</si>
  <si>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</si>
  <si>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</si>
  <si>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</si>
  <si>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</si>
  <si>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</si>
  <si>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</si>
  <si>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</si>
  <si>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</si>
  <si>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</si>
  <si>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</si>
  <si>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</si>
  <si>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</si>
  <si>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</si>
  <si>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</si>
  <si>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</si>
  <si>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</si>
  <si>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</si>
  <si>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</si>
  <si>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</si>
  <si>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</si>
  <si>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</si>
  <si>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</si>
  <si>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</si>
  <si>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</si>
  <si>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</si>
  <si>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</si>
  <si>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</si>
  <si>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</si>
  <si>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</si>
  <si>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</si>
  <si>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</si>
  <si>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</si>
  <si>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</si>
  <si>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</si>
  <si>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</si>
  <si>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</si>
  <si>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</si>
  <si>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</si>
  <si>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</si>
  <si>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</si>
  <si>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</si>
  <si>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</si>
  <si>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</si>
  <si>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</si>
  <si>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</si>
  <si>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</si>
  <si>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</si>
  <si>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</si>
  <si>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</si>
  <si>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</si>
  <si>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</si>
  <si>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</si>
  <si>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</si>
  <si>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</si>
  <si>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</si>
  <si>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</si>
  <si>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</si>
  <si>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</si>
  <si>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</si>
  <si>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</si>
  <si>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</si>
  <si>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</si>
  <si>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</si>
  <si>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</si>
  <si>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</si>
  <si>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</si>
  <si>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</si>
  <si>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</si>
  <si>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</si>
  <si>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</si>
  <si>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</si>
  <si>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</si>
  <si>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</si>
  <si>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</si>
  <si>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</si>
  <si>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</si>
  <si>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</si>
  <si>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</si>
  <si>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</si>
  <si>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</si>
  <si>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</si>
  <si>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</si>
  <si>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</si>
  <si>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</si>
  <si>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</si>
  <si>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</si>
  <si>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</si>
  <si>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</si>
  <si>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</si>
  <si>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</si>
  <si>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</si>
  <si>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</si>
  <si>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</si>
  <si>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</si>
  <si>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</si>
  <si>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</si>
  <si>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</si>
  <si>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</si>
  <si>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</si>
  <si>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</si>
  <si>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</si>
  <si>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</si>
  <si>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</si>
  <si>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</si>
  <si>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</si>
  <si>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</si>
  <si>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</si>
  <si>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</si>
  <si>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</si>
  <si>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</si>
  <si>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</si>
  <si>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</si>
  <si>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</si>
  <si>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</si>
  <si>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</si>
  <si>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</si>
  <si>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</si>
  <si>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</si>
  <si>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</si>
  <si>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</si>
  <si>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</si>
  <si>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</si>
  <si>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</si>
  <si>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</si>
  <si>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</si>
  <si>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</si>
  <si>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</si>
  <si>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</si>
  <si>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</si>
  <si>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</si>
  <si>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</si>
  <si>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</si>
  <si>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</si>
  <si>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</si>
  <si>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</si>
  <si>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</si>
  <si>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</si>
  <si>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</si>
  <si>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</si>
  <si>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</si>
  <si>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</si>
  <si>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</si>
  <si>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</si>
  <si>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</si>
  <si>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</si>
  <si>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</si>
  <si>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</si>
  <si>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</si>
  <si>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</si>
  <si>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</si>
  <si>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</si>
  <si>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</si>
  <si>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</si>
  <si>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</si>
  <si>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</si>
  <si>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</si>
  <si>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</si>
  <si>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</si>
  <si>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</si>
  <si>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</si>
  <si>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</si>
  <si>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</si>
  <si>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</si>
  <si>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</si>
  <si>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</si>
  <si>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</si>
  <si>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</si>
  <si>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</si>
  <si>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</si>
  <si>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</si>
  <si>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</si>
  <si>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</si>
  <si>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</si>
  <si>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</si>
  <si>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</si>
  <si>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</si>
  <si>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</si>
  <si>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</si>
  <si>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</si>
  <si>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</si>
  <si>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</si>
  <si>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</si>
  <si>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</si>
  <si>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</si>
  <si>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</si>
  <si>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</si>
  <si>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</si>
  <si>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</si>
  <si>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</si>
  <si>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</si>
  <si>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</si>
  <si>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</si>
  <si>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</si>
  <si>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</si>
  <si>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</si>
  <si>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</si>
  <si>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</si>
  <si>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</si>
  <si>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</si>
  <si>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</si>
  <si>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</si>
  <si>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</si>
  <si>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</si>
  <si>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</si>
  <si>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</si>
  <si>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</si>
  <si>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</si>
  <si>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</si>
  <si>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</si>
  <si>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</si>
  <si>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</si>
  <si>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</si>
  <si>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</si>
  <si>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</si>
  <si>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</si>
  <si>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</si>
  <si>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</si>
  <si>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</si>
  <si>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</si>
  <si>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</si>
  <si>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</si>
  <si>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</si>
  <si>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</si>
  <si>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</si>
  <si>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</si>
  <si>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</si>
  <si>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</si>
  <si>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</si>
  <si>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</si>
  <si>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</si>
  <si>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</si>
  <si>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</si>
  <si>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</si>
  <si>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</si>
  <si>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</si>
  <si>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</si>
  <si>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</si>
  <si>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</si>
  <si>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</si>
  <si>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</si>
  <si>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</si>
  <si>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</si>
  <si>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</si>
  <si>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</si>
  <si>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</si>
  <si>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</si>
  <si>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</si>
  <si>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</si>
  <si>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</si>
  <si>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</si>
  <si>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</si>
  <si>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</si>
  <si>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</si>
  <si>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</si>
  <si>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</si>
  <si>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</si>
  <si>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</si>
  <si>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</si>
  <si>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</si>
  <si>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</si>
  <si>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</si>
  <si>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</si>
  <si>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</si>
  <si>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</si>
  <si>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</si>
  <si>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</si>
  <si>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>工程数量：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</si>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</sst>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D3" sqref="D3:G3"/>
    </sheetView>
  </sheetViews>
  <sheetFormatPr defaultColWidth="9" defaultRowHeight="15" outlineLevelCol="7"/>
  <cols>
    <col min="1" max="1" width="16" style="127"/>
    <col min="2" max="2" width="4.62727272727273" style="127"/>
    <col min="3" max="3" width="12.5" style="127"/>
    <col min="4" max="4" width="24" style="127"/>
    <col min="5" max="5" width="19.6272727272727" style="127"/>
    <col min="6" max="6" width="23" style="127"/>
    <col min="7" max="7" width="4.75454545454545" style="127"/>
    <col min="8" max="8" width="13.2545454545455" style="127"/>
    <col min="9" max="16384" width="9" style="127"/>
  </cols>
  <sheetData>
    <row r="1" ht="42" customHeight="1" spans="1:8">
      <c r="A1" s="128" t="s">
        <v>0</v>
      </c>
      <c r="B1" s="129" t="s">
        <v>1</v>
      </c>
      <c r="C1" s="129" t="s">
        <v>0</v>
      </c>
      <c r="D1" s="129" t="s">
        <v>0</v>
      </c>
      <c r="E1" s="129" t="s">
        <v>0</v>
      </c>
      <c r="F1" s="129" t="s">
        <v>0</v>
      </c>
      <c r="G1" s="130" t="s">
        <v>2</v>
      </c>
      <c r="H1" s="130" t="s">
        <v>0</v>
      </c>
    </row>
    <row r="2" ht="39" customHeight="1" spans="1:8">
      <c r="A2" s="131" t="s">
        <v>3</v>
      </c>
      <c r="B2" s="131" t="s">
        <v>0</v>
      </c>
      <c r="C2" s="131" t="s">
        <v>0</v>
      </c>
      <c r="D2" s="131" t="s">
        <v>0</v>
      </c>
      <c r="E2" s="131" t="s">
        <v>0</v>
      </c>
      <c r="F2" s="131" t="s">
        <v>0</v>
      </c>
      <c r="G2" s="131" t="s">
        <v>0</v>
      </c>
      <c r="H2" s="131" t="s">
        <v>0</v>
      </c>
    </row>
    <row r="3" ht="46.5" customHeight="1" spans="1:8">
      <c r="A3" s="132" t="s">
        <v>4</v>
      </c>
      <c r="B3" s="132" t="s">
        <v>0</v>
      </c>
      <c r="C3" s="132" t="s">
        <v>0</v>
      </c>
      <c r="D3" s="133">
        <f>'C1 工程项目投标总价表'!E15</f>
        <v>7520474.88404</v>
      </c>
      <c r="E3" s="133" t="s">
        <v>0</v>
      </c>
      <c r="F3" s="133" t="s">
        <v>0</v>
      </c>
      <c r="G3" s="133" t="s">
        <v>0</v>
      </c>
      <c r="H3" s="134" t="s">
        <v>0</v>
      </c>
    </row>
    <row r="4" ht="18.75" customHeight="1" spans="1:8">
      <c r="A4" s="132" t="s">
        <v>5</v>
      </c>
      <c r="B4" s="132" t="s">
        <v>0</v>
      </c>
      <c r="C4" s="132" t="s">
        <v>0</v>
      </c>
      <c r="D4" s="135">
        <f>IF(D3,D3,"")</f>
        <v>7520474.88404</v>
      </c>
      <c r="E4" s="136"/>
      <c r="F4" s="136" t="s">
        <v>0</v>
      </c>
      <c r="G4" s="136" t="s">
        <v>0</v>
      </c>
      <c r="H4" s="137" t="s">
        <v>0</v>
      </c>
    </row>
    <row r="5" ht="16.5" customHeight="1" spans="1:8">
      <c r="A5" s="132" t="s">
        <v>0</v>
      </c>
      <c r="B5" s="132" t="s">
        <v>0</v>
      </c>
      <c r="C5" s="132" t="s">
        <v>0</v>
      </c>
      <c r="D5" s="136"/>
      <c r="E5" s="136" t="s">
        <v>0</v>
      </c>
      <c r="F5" s="136" t="s">
        <v>0</v>
      </c>
      <c r="G5" s="136" t="s">
        <v>0</v>
      </c>
      <c r="H5" s="137" t="s">
        <v>0</v>
      </c>
    </row>
    <row r="6" ht="54.75" customHeight="1" spans="1:8">
      <c r="A6" s="132" t="s">
        <v>6</v>
      </c>
      <c r="B6" s="132" t="s">
        <v>0</v>
      </c>
      <c r="C6" s="133" t="s">
        <v>7</v>
      </c>
      <c r="D6" s="133"/>
      <c r="E6" s="132" t="s">
        <v>8</v>
      </c>
      <c r="F6" s="133" t="s">
        <v>9</v>
      </c>
      <c r="G6" s="133" t="s">
        <v>0</v>
      </c>
      <c r="H6" s="133" t="s">
        <v>0</v>
      </c>
    </row>
    <row r="7" ht="22.5" customHeight="1" spans="1:8">
      <c r="A7" s="132" t="s">
        <v>0</v>
      </c>
      <c r="B7" s="132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2" t="s">
        <v>11</v>
      </c>
      <c r="B8" s="132" t="s">
        <v>0</v>
      </c>
      <c r="C8" s="133" t="s">
        <v>9</v>
      </c>
      <c r="D8" s="133" t="s">
        <v>0</v>
      </c>
      <c r="E8" s="132" t="s">
        <v>11</v>
      </c>
      <c r="F8" s="133" t="s">
        <v>9</v>
      </c>
      <c r="G8" s="133" t="s">
        <v>0</v>
      </c>
      <c r="H8" s="133" t="s">
        <v>0</v>
      </c>
    </row>
    <row r="9" ht="22.5" customHeight="1" spans="1:8">
      <c r="A9" s="132" t="s">
        <v>12</v>
      </c>
      <c r="B9" s="132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2" t="s">
        <v>14</v>
      </c>
      <c r="B10" s="132" t="s">
        <v>0</v>
      </c>
      <c r="C10" s="133" t="s">
        <v>15</v>
      </c>
      <c r="D10" s="133" t="s">
        <v>0</v>
      </c>
      <c r="E10" s="132" t="s">
        <v>16</v>
      </c>
      <c r="F10" s="133" t="s">
        <v>17</v>
      </c>
      <c r="G10" s="133" t="s">
        <v>0</v>
      </c>
      <c r="H10" s="133" t="s">
        <v>0</v>
      </c>
    </row>
    <row r="11" ht="21" customHeight="1" spans="1:8">
      <c r="A11" s="132" t="s">
        <v>0</v>
      </c>
      <c r="B11" s="132" t="s">
        <v>0</v>
      </c>
      <c r="C11" s="138" t="s">
        <v>18</v>
      </c>
      <c r="D11" s="138" t="s">
        <v>0</v>
      </c>
      <c r="E11" s="139" t="s">
        <v>0</v>
      </c>
      <c r="F11" s="138" t="s">
        <v>19</v>
      </c>
      <c r="G11" s="138" t="s">
        <v>0</v>
      </c>
      <c r="H11" s="138" t="s">
        <v>0</v>
      </c>
    </row>
    <row r="12" ht="30.75" customHeight="1" spans="1:8">
      <c r="A12" s="132" t="s">
        <v>20</v>
      </c>
      <c r="B12" s="132" t="s">
        <v>0</v>
      </c>
      <c r="C12" s="137" t="s">
        <v>9</v>
      </c>
      <c r="D12" s="137" t="s">
        <v>0</v>
      </c>
      <c r="E12" s="132" t="s">
        <v>21</v>
      </c>
      <c r="F12" s="137" t="s">
        <v>9</v>
      </c>
      <c r="G12" s="137" t="s">
        <v>0</v>
      </c>
      <c r="H12" s="137" t="s">
        <v>0</v>
      </c>
    </row>
    <row r="13" ht="24.75" customHeight="1" spans="1:8">
      <c r="A13" s="140" t="s">
        <v>22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G29" sqref="G29"/>
    </sheetView>
  </sheetViews>
  <sheetFormatPr defaultColWidth="9" defaultRowHeight="14" outlineLevelCol="5"/>
  <cols>
    <col min="1" max="1" width="12.8818181818182" customWidth="1"/>
    <col min="3" max="5" width="17" customWidth="1"/>
    <col min="6" max="6" width="17.818181818181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4" t="s">
        <v>91</v>
      </c>
      <c r="C5" s="115"/>
      <c r="D5" s="116">
        <f>'C1-3单位工程预算汇总表-GP型'!C19</f>
        <v>0</v>
      </c>
      <c r="E5" s="3">
        <f>'C1-3单位工程预算汇总表-GP型'!C6</f>
        <v>0</v>
      </c>
      <c r="F5" s="3">
        <f>'C1-3单位工程预算汇总表-GP型'!C12</f>
        <v>0</v>
      </c>
    </row>
    <row r="6" ht="25.95" customHeight="1" spans="1:6">
      <c r="A6" s="3" t="s">
        <v>60</v>
      </c>
      <c r="B6" s="114" t="s">
        <v>92</v>
      </c>
      <c r="C6" s="115" t="s">
        <v>93</v>
      </c>
      <c r="D6" s="116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64</v>
      </c>
      <c r="B7" s="114" t="s">
        <v>94</v>
      </c>
      <c r="C7" s="115" t="s">
        <v>95</v>
      </c>
      <c r="D7" s="116">
        <f>'C1-3单位工程预算汇总表-GP型'!C57</f>
        <v>7091388.11604</v>
      </c>
      <c r="E7" s="3">
        <f>'C1-3单位工程预算汇总表-GP型'!C44</f>
        <v>85392.232</v>
      </c>
      <c r="F7" s="3">
        <f>'C1-3单位工程预算汇总表-GP型'!C50</f>
        <v>157972.64</v>
      </c>
    </row>
    <row r="8" ht="25.95" customHeight="1" spans="1:6">
      <c r="A8" s="3" t="s">
        <v>74</v>
      </c>
      <c r="B8" s="114" t="s">
        <v>96</v>
      </c>
      <c r="C8" s="115" t="s">
        <v>97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4"/>
      <c r="C9" s="115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7091388.11604</v>
      </c>
      <c r="E13" s="3">
        <f>SUM(E5:E12)</f>
        <v>85392.232</v>
      </c>
      <c r="F13" s="3">
        <f>SUM(F5:F12)</f>
        <v>157972.64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8" sqref="C8"/>
    </sheetView>
  </sheetViews>
  <sheetFormatPr defaultColWidth="9" defaultRowHeight="14" outlineLevelCol="3"/>
  <cols>
    <col min="1" max="1" width="11.2181818181818" customWidth="1"/>
    <col min="2" max="2" width="44" customWidth="1"/>
    <col min="3" max="3" width="18.2090909090909" customWidth="1"/>
    <col min="4" max="4" width="18.1090909090909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6262495.78404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85392.232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85392.232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157972.64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6505860.65604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585527.46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7091388.11604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topLeftCell="A5" workbookViewId="0">
      <selection activeCell="C7" sqref="C7"/>
    </sheetView>
  </sheetViews>
  <sheetFormatPr defaultColWidth="9" defaultRowHeight="14" outlineLevelCol="3"/>
  <cols>
    <col min="1" max="1" width="12.8818181818182" customWidth="1"/>
    <col min="2" max="2" width="47.2090909090909" customWidth="1"/>
    <col min="3" max="3" width="16.7818181818182" customWidth="1"/>
    <col min="4" max="4" width="15.7818181818182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6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0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0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0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0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2">
        <f>C4+C5+C7+C12</f>
        <v>0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0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26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0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0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0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0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0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26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6262495.78404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85392.232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85392.232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157972.64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6505860.65604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585527.46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7091388.11604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26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0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0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0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0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0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0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0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3"/>
      <c r="B79" s="113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G12" sqref="G12"/>
    </sheetView>
  </sheetViews>
  <sheetFormatPr defaultColWidth="9" defaultRowHeight="14"/>
  <cols>
    <col min="1" max="1" width="5.78181818181818" customWidth="1"/>
    <col min="3" max="3" width="18.2090909090909" customWidth="1"/>
    <col min="4" max="4" width="6" customWidth="1"/>
    <col min="5" max="5" width="8" customWidth="1"/>
    <col min="6" max="6" width="10.2090909090909" customWidth="1"/>
    <col min="7" max="8" width="8.66363636363636" customWidth="1"/>
    <col min="9" max="9" width="7.20909090909091" customWidth="1"/>
    <col min="10" max="11" width="8.66363636363636" customWidth="1"/>
    <col min="12" max="14" width="11.8909090909091" customWidth="1"/>
    <col min="15" max="15" width="10.7818181818182" customWidth="1"/>
    <col min="16" max="16" width="9.66363636363636" customWidth="1"/>
    <col min="17" max="17" width="10.7818181818182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f>'D3-3 分部分项工程量清单综合单价计算表(分页不带材料)~1'!E9</f>
        <v>70.9</v>
      </c>
      <c r="F6" s="15">
        <f>ROUND(L6/$E6,2)</f>
        <v>5343.27</v>
      </c>
      <c r="G6" s="3">
        <f t="shared" ref="G6:K6" si="0">ROUND(M6/$E6,2)</f>
        <v>2836.44</v>
      </c>
      <c r="H6" s="3">
        <f t="shared" si="0"/>
        <v>1864.36</v>
      </c>
      <c r="I6" s="3">
        <f t="shared" si="0"/>
        <v>443.92</v>
      </c>
      <c r="J6" s="3">
        <f t="shared" si="0"/>
        <v>56.73</v>
      </c>
      <c r="K6" s="3">
        <f t="shared" si="0"/>
        <v>141.82</v>
      </c>
      <c r="L6" s="15">
        <f>'D3-3 分部分项工程量清单综合单价计算表(分页不带材料)~1'!K17</f>
        <v>378837.6915</v>
      </c>
      <c r="M6" s="110">
        <f>'D3-3 分部分项工程量清单综合单价计算表(分页不带材料)~1'!F17</f>
        <v>201103.486</v>
      </c>
      <c r="N6" s="110">
        <f>'D3-3 分部分项工程量清单综合单价计算表(分页不带材料)~1'!G17</f>
        <v>132182.8195</v>
      </c>
      <c r="O6" s="110">
        <f>'D3-3 分部分项工程量清单综合单价计算表(分页不带材料)~1'!H17</f>
        <v>31474.146</v>
      </c>
      <c r="P6" s="110">
        <f>'D3-3 分部分项工程量清单综合单价计算表(分页不带材料)~1'!I17</f>
        <v>4022.07</v>
      </c>
      <c r="Q6" s="110">
        <f>'D3-3 分部分项工程量清单综合单价计算表(分页不带材料)~1'!J17</f>
        <v>10055.17</v>
      </c>
    </row>
    <row r="7" ht="19.95" customHeight="1" spans="1:17">
      <c r="A7" s="3"/>
      <c r="B7" s="4" t="s">
        <v>122</v>
      </c>
      <c r="C7" s="8" t="s">
        <v>88</v>
      </c>
      <c r="D7" s="3" t="s">
        <v>121</v>
      </c>
      <c r="E7" s="18"/>
      <c r="F7" s="94">
        <v>0</v>
      </c>
      <c r="G7" s="18">
        <v>0</v>
      </c>
      <c r="H7" s="18"/>
      <c r="I7" s="18"/>
      <c r="J7" s="18">
        <v>0</v>
      </c>
      <c r="K7" s="18">
        <v>0</v>
      </c>
      <c r="L7" s="94">
        <v>0</v>
      </c>
      <c r="M7" s="111">
        <v>0</v>
      </c>
      <c r="N7" s="111"/>
      <c r="O7" s="111"/>
      <c r="P7" s="111">
        <v>0</v>
      </c>
      <c r="Q7" s="111">
        <v>0</v>
      </c>
    </row>
    <row r="8" ht="19.95" customHeight="1" spans="1:17">
      <c r="A8" s="3"/>
      <c r="B8" s="4" t="s">
        <v>123</v>
      </c>
      <c r="C8" s="8" t="s">
        <v>91</v>
      </c>
      <c r="D8" s="3" t="s">
        <v>121</v>
      </c>
      <c r="E8" s="18"/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94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</row>
    <row r="9" ht="19.95" customHeight="1" spans="1:17">
      <c r="A9" s="3"/>
      <c r="B9" s="4" t="s">
        <v>124</v>
      </c>
      <c r="C9" s="8" t="s">
        <v>92</v>
      </c>
      <c r="D9" s="3" t="s">
        <v>121</v>
      </c>
      <c r="E9" s="18"/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ht="19.95" customHeight="1" spans="1:17">
      <c r="A10" s="3"/>
      <c r="B10" s="4" t="s">
        <v>125</v>
      </c>
      <c r="C10" s="8" t="s">
        <v>94</v>
      </c>
      <c r="D10" s="3" t="s">
        <v>121</v>
      </c>
      <c r="E10" s="18">
        <v>4260.5</v>
      </c>
      <c r="F10" s="18">
        <v>453.91</v>
      </c>
      <c r="G10" s="18">
        <v>238.54</v>
      </c>
      <c r="H10" s="18">
        <v>160.01</v>
      </c>
      <c r="I10" s="18">
        <v>38.66</v>
      </c>
      <c r="J10" s="18">
        <v>4.77</v>
      </c>
      <c r="K10" s="18">
        <v>11.93</v>
      </c>
      <c r="L10" s="18">
        <v>6262495.78404</v>
      </c>
      <c r="M10" s="6">
        <v>3291096.628</v>
      </c>
      <c r="N10" s="6">
        <v>2207618.45804</v>
      </c>
      <c r="O10" s="6">
        <v>533403.948</v>
      </c>
      <c r="P10" s="6">
        <v>65821.93</v>
      </c>
      <c r="Q10" s="6">
        <v>164554.82</v>
      </c>
    </row>
    <row r="11" ht="19.95" customHeight="1" spans="1:17">
      <c r="A11" s="3"/>
      <c r="B11" s="4" t="s">
        <v>126</v>
      </c>
      <c r="C11" s="8" t="s">
        <v>96</v>
      </c>
      <c r="D11" s="3" t="s">
        <v>121</v>
      </c>
      <c r="E11" s="18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127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6641333.47554</v>
      </c>
      <c r="M26" s="15">
        <f t="shared" si="1"/>
        <v>3492200.114</v>
      </c>
      <c r="N26" s="15">
        <f t="shared" si="1"/>
        <v>2339801.27754</v>
      </c>
      <c r="O26" s="15">
        <f t="shared" si="1"/>
        <v>564878.094</v>
      </c>
      <c r="P26" s="15">
        <f t="shared" si="1"/>
        <v>69844</v>
      </c>
      <c r="Q26" s="15">
        <f t="shared" si="1"/>
        <v>174609.99</v>
      </c>
    </row>
    <row r="27" ht="19.95" customHeight="1" spans="1:17">
      <c r="A27" s="70" t="s">
        <v>0</v>
      </c>
      <c r="B27" s="71" t="s">
        <v>0</v>
      </c>
      <c r="C27" s="3" t="s">
        <v>128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6641333.47554</v>
      </c>
      <c r="M27" s="3">
        <f t="shared" ref="M27:Q27" si="2">M26</f>
        <v>3492200.114</v>
      </c>
      <c r="N27" s="3">
        <f t="shared" si="2"/>
        <v>2339801.27754</v>
      </c>
      <c r="O27" s="3">
        <f t="shared" si="2"/>
        <v>564878.094</v>
      </c>
      <c r="P27" s="3">
        <f t="shared" si="2"/>
        <v>69844</v>
      </c>
      <c r="Q27" s="3">
        <f t="shared" si="2"/>
        <v>174609.99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4.4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J4" sqref="J4:K5"/>
    </sheetView>
  </sheetViews>
  <sheetFormatPr defaultColWidth="9" defaultRowHeight="14"/>
  <cols>
    <col min="1" max="1" width="6.66363636363636" customWidth="1"/>
    <col min="2" max="2" width="12.8818181818182" customWidth="1"/>
    <col min="3" max="3" width="26" customWidth="1"/>
    <col min="6" max="7" width="12.1090909090909" customWidth="1"/>
    <col min="8" max="10" width="10.7818181818182" customWidth="1"/>
    <col min="11" max="11" width="12.1090909090909" customWidth="1"/>
  </cols>
  <sheetData>
    <row r="1" ht="27.6" customHeight="1" spans="1:11">
      <c r="A1" s="36" t="s">
        <v>0</v>
      </c>
      <c r="B1" s="36" t="s">
        <v>0</v>
      </c>
      <c r="C1" s="85" t="s">
        <v>129</v>
      </c>
      <c r="D1" s="85"/>
      <c r="E1" s="85"/>
      <c r="F1" s="85"/>
      <c r="G1" s="85"/>
      <c r="H1" s="85"/>
      <c r="I1" s="85"/>
      <c r="J1" s="43" t="s">
        <v>31</v>
      </c>
      <c r="K1" s="43" t="s">
        <v>0</v>
      </c>
    </row>
    <row r="2" spans="1:11">
      <c r="A2" s="36" t="s">
        <v>130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131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132</v>
      </c>
      <c r="K3" s="28" t="s">
        <v>0</v>
      </c>
    </row>
    <row r="4" ht="14.4" customHeight="1" spans="2:11">
      <c r="B4" s="107" t="s">
        <v>133</v>
      </c>
      <c r="C4" s="28" t="s">
        <v>134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13" t="str">
        <f>"工程数量"&amp;E9&amp;"亩 "</f>
        <v>工程数量70.9亩 </v>
      </c>
      <c r="K4" s="13"/>
    </row>
    <row r="5" ht="14.4" customHeight="1" spans="2:11">
      <c r="B5" s="107" t="s">
        <v>135</v>
      </c>
      <c r="C5" s="28" t="s">
        <v>136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13" t="str">
        <f>"综合单价："&amp;$M$17&amp;"元 "</f>
        <v>综合单价：5343.27元 </v>
      </c>
      <c r="K5" s="13"/>
    </row>
    <row r="6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140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141</v>
      </c>
      <c r="M7" s="108"/>
    </row>
    <row r="8" spans="1:11">
      <c r="A8" s="39" t="s">
        <v>53</v>
      </c>
      <c r="B8" s="39" t="s">
        <v>142</v>
      </c>
      <c r="C8" s="77" t="s">
        <v>143</v>
      </c>
      <c r="D8" s="39" t="s">
        <v>121</v>
      </c>
      <c r="E8" s="39">
        <f>'D3-4 分部分项工程量清单综合单价计算表(分页带材料)ZL型'!E8</f>
        <v>0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144</v>
      </c>
      <c r="C9" s="77" t="s">
        <v>145</v>
      </c>
      <c r="D9" s="39" t="s">
        <v>121</v>
      </c>
      <c r="E9" s="39">
        <f>'D3-4 分部分项工程量清单综合单价计算表(分页带材料)ZL型'!E12</f>
        <v>70.9</v>
      </c>
      <c r="F9" s="62">
        <f>'D3-4 分部分项工程量清单综合单价计算表(分页带材料)ZL型'!F12</f>
        <v>84350.272</v>
      </c>
      <c r="G9" s="62">
        <f>'D3-4 分部分项工程量清单综合单价计算表(分页带材料)ZL型'!G12</f>
        <v>32074.185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1687.01</v>
      </c>
      <c r="J9" s="62">
        <f>'D3-4 分部分项工程量清单综合单价计算表(分页带材料)ZL型'!J12</f>
        <v>4217.51</v>
      </c>
      <c r="K9" s="62">
        <f>'D3-4 分部分项工程量清单综合单价计算表(分页带材料)ZL型'!K12</f>
        <v>122328.977</v>
      </c>
    </row>
    <row r="10" spans="1:11">
      <c r="A10" s="39" t="s">
        <v>64</v>
      </c>
      <c r="B10" s="39" t="s">
        <v>146</v>
      </c>
      <c r="C10" s="77" t="s">
        <v>147</v>
      </c>
      <c r="D10" s="39" t="s">
        <v>121</v>
      </c>
      <c r="E10" s="39">
        <f>'D3-4 分部分项工程量清单综合单价计算表(分页带材料)ZL型'!E19</f>
        <v>70.9</v>
      </c>
      <c r="F10" s="62">
        <f>'D3-4 分部分项工程量清单综合单价计算表(分页带材料)ZL型'!F19</f>
        <v>9171.072</v>
      </c>
      <c r="G10" s="62">
        <f>'D3-4 分部分项工程量清单综合单价计算表(分页带材料)ZL型'!G19</f>
        <v>30653.65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183.42</v>
      </c>
      <c r="J10" s="62">
        <f>'D3-4 分部分项工程量清单综合单价计算表(分页带材料)ZL型'!J19</f>
        <v>458.55</v>
      </c>
      <c r="K10" s="62">
        <f>'D3-4 分部分项工程量清单综合单价计算表(分页带材料)ZL型'!K19</f>
        <v>40466.692</v>
      </c>
    </row>
    <row r="11" spans="1:11">
      <c r="A11" s="39" t="s">
        <v>74</v>
      </c>
      <c r="B11" s="39" t="s">
        <v>148</v>
      </c>
      <c r="C11" s="77" t="s">
        <v>149</v>
      </c>
      <c r="D11" s="39" t="s">
        <v>121</v>
      </c>
      <c r="E11" s="39">
        <v>70.9</v>
      </c>
      <c r="F11" s="62">
        <f>'D3-4 分部分项工程量清单综合单价计算表(分页带材料)ZL型'!F23</f>
        <v>42315.584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846.31</v>
      </c>
      <c r="J11" s="62">
        <f>'D3-4 分部分项工程量清单综合单价计算表(分页带材料)ZL型'!J23</f>
        <v>2115.78</v>
      </c>
      <c r="K11" s="62">
        <f>'D3-4 分部分项工程量清单综合单价计算表(分页带材料)ZL型'!K23</f>
        <v>45277.674</v>
      </c>
    </row>
    <row r="12" spans="1:11">
      <c r="A12" s="39" t="s">
        <v>75</v>
      </c>
      <c r="B12" s="39" t="s">
        <v>150</v>
      </c>
      <c r="C12" s="77" t="s">
        <v>151</v>
      </c>
      <c r="D12" s="39" t="s">
        <v>121</v>
      </c>
      <c r="E12" s="39">
        <v>70.9</v>
      </c>
      <c r="F12" s="62">
        <f>'D3-4 分部分项工程量清单综合单价计算表(分页带材料)ZL型'!F26</f>
        <v>2872.192</v>
      </c>
      <c r="G12" s="62">
        <f>'D3-4 分部分项工程量清单综合单价计算表(分页带材料)ZL型'!G26</f>
        <v>4813.1655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57.44</v>
      </c>
      <c r="J12" s="62">
        <f>'D3-4 分部分项工程量清单综合单价计算表(分页带材料)ZL型'!J26</f>
        <v>143.61</v>
      </c>
      <c r="K12" s="62">
        <f>'D3-4 分部分项工程量清单综合单价计算表(分页带材料)ZL型'!K26</f>
        <v>7886.4075</v>
      </c>
    </row>
    <row r="13" spans="1:11">
      <c r="A13" s="39" t="s">
        <v>77</v>
      </c>
      <c r="B13" s="39" t="s">
        <v>152</v>
      </c>
      <c r="C13" s="77" t="s">
        <v>153</v>
      </c>
      <c r="D13" s="39" t="s">
        <v>121</v>
      </c>
      <c r="E13" s="39">
        <v>70.9</v>
      </c>
      <c r="F13" s="62">
        <f>'D3-4 分部分项工程量清单综合单价计算表(分页带材料)ZL型'!F30</f>
        <v>27515.648</v>
      </c>
      <c r="G13" s="62">
        <f>'D3-4 分部分项工程量清单综合单价计算表(分页带材料)ZL型'!G30</f>
        <v>52622.514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550.31</v>
      </c>
      <c r="J13" s="62">
        <f>'D3-4 分部分项工程量清单综合单价计算表(分页带材料)ZL型'!J30</f>
        <v>1375.78</v>
      </c>
      <c r="K13" s="62">
        <f>'D3-4 分部分项工程量清单综合单价计算表(分页带材料)ZL型'!K30</f>
        <v>82064.252</v>
      </c>
    </row>
    <row r="14" spans="1:11">
      <c r="A14" s="39" t="s">
        <v>81</v>
      </c>
      <c r="B14" s="39" t="s">
        <v>154</v>
      </c>
      <c r="C14" s="77" t="s">
        <v>155</v>
      </c>
      <c r="D14" s="39" t="s">
        <v>121</v>
      </c>
      <c r="E14" s="39">
        <v>70.9</v>
      </c>
      <c r="F14" s="62">
        <f>'D3-4 分部分项工程量清单综合单价计算表(分页带材料)ZL型'!F35</f>
        <v>20877.504</v>
      </c>
      <c r="G14" s="62">
        <f>'D3-4 分部分项工程量清单综合单价计算表(分页带材料)ZL型'!G35</f>
        <v>12019.305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417.55</v>
      </c>
      <c r="J14" s="62">
        <f>'D3-4 分部分项工程量清单综合单价计算表(分页带材料)ZL型'!J35</f>
        <v>1043.88</v>
      </c>
      <c r="K14" s="62">
        <f>'D3-4 分部分项工程量清单综合单价计算表(分页带材料)ZL型'!K35</f>
        <v>34358.239</v>
      </c>
    </row>
    <row r="15" spans="1:11">
      <c r="A15" s="39" t="s">
        <v>156</v>
      </c>
      <c r="B15" s="39" t="s">
        <v>157</v>
      </c>
      <c r="C15" s="77" t="s">
        <v>158</v>
      </c>
      <c r="D15" s="39" t="s">
        <v>121</v>
      </c>
      <c r="E15" s="39">
        <v>70.9</v>
      </c>
      <c r="F15" s="62">
        <f>'D3-4 分部分项工程量清单综合单价计算表(分页带材料)ZL型'!F38</f>
        <v>2155.36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43.11</v>
      </c>
      <c r="J15" s="62">
        <f>'D3-4 分部分项工程量清单综合单价计算表(分页带材料)ZL型'!J38</f>
        <v>107.77</v>
      </c>
      <c r="K15" s="62">
        <f>'D3-4 分部分项工程量清单综合单价计算表(分页带材料)ZL型'!K38</f>
        <v>2306.24</v>
      </c>
    </row>
    <row r="16" spans="1:11">
      <c r="A16" s="39" t="s">
        <v>159</v>
      </c>
      <c r="B16" s="39" t="s">
        <v>160</v>
      </c>
      <c r="C16" s="77" t="s">
        <v>161</v>
      </c>
      <c r="D16" s="39" t="s">
        <v>162</v>
      </c>
      <c r="E16" s="39">
        <f>'D3-4 分部分项工程量清单综合单价计算表(分页带材料)ZL型'!E41</f>
        <v>114</v>
      </c>
      <c r="F16" s="62">
        <f>'D3-4 分部分项工程量清单综合单价计算表(分页带材料)ZL型'!F41</f>
        <v>11845.854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31474.146</v>
      </c>
      <c r="I16" s="62">
        <f>'D3-4 分部分项工程量清单综合单价计算表(分页带材料)ZL型'!I41</f>
        <v>236.92</v>
      </c>
      <c r="J16" s="62">
        <f>'D3-4 分部分项工程量清单综合单价计算表(分页带材料)ZL型'!J41</f>
        <v>592.29</v>
      </c>
      <c r="K16" s="62">
        <f>'D3-4 分部分项工程量清单综合单价计算表(分页带材料)ZL型'!K41</f>
        <v>44149.21</v>
      </c>
    </row>
    <row r="17" spans="1:13">
      <c r="A17" s="39" t="s">
        <v>9</v>
      </c>
      <c r="B17" s="39" t="s">
        <v>9</v>
      </c>
      <c r="C17" s="39" t="s">
        <v>163</v>
      </c>
      <c r="D17" s="39" t="s">
        <v>9</v>
      </c>
      <c r="E17" s="61" t="s">
        <v>9</v>
      </c>
      <c r="F17" s="81">
        <f t="shared" ref="F17:K17" si="0">SUM(F8:F16)</f>
        <v>201103.486</v>
      </c>
      <c r="G17" s="81">
        <f t="shared" si="0"/>
        <v>132182.8195</v>
      </c>
      <c r="H17" s="81">
        <f t="shared" si="0"/>
        <v>31474.146</v>
      </c>
      <c r="I17" s="81">
        <f t="shared" si="0"/>
        <v>4022.07</v>
      </c>
      <c r="J17" s="81">
        <f t="shared" si="0"/>
        <v>10055.17</v>
      </c>
      <c r="K17" s="81">
        <f t="shared" si="0"/>
        <v>378837.6915</v>
      </c>
      <c r="M17" s="109">
        <f>ROUND(K17/E15,2)</f>
        <v>5343.27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3" t="s">
        <v>29</v>
      </c>
      <c r="H19" s="43"/>
      <c r="I19" s="43"/>
      <c r="J19" s="43"/>
      <c r="K19" s="43"/>
      <c r="L19" s="12" t="s">
        <v>0</v>
      </c>
    </row>
    <row r="20" ht="34.8" customHeight="1"/>
    <row r="36" spans="13:13">
      <c r="M36" s="109" t="e">
        <f>ROUND(K36/E35,2)</f>
        <v>#DIV/0!</v>
      </c>
    </row>
    <row r="38" ht="226.2" customHeight="1"/>
    <row r="39" ht="25.8" customHeight="1"/>
    <row r="55" spans="13:13">
      <c r="M55" s="109" t="e">
        <f>ROUND(K55/E54,2)</f>
        <v>#DIV/0!</v>
      </c>
    </row>
    <row r="57" ht="237.6" customHeight="1" spans="7:11">
      <c r="G57" s="43" t="s">
        <v>29</v>
      </c>
      <c r="H57" s="43"/>
      <c r="I57" s="43"/>
      <c r="J57" s="43"/>
      <c r="K57" s="43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F6" sqref="F6:K6"/>
    </sheetView>
  </sheetViews>
  <sheetFormatPr defaultColWidth="9" defaultRowHeight="14"/>
  <cols>
    <col min="1" max="1" width="7" style="34" customWidth="1"/>
    <col min="2" max="2" width="11.2090909090909" style="34" customWidth="1"/>
    <col min="3" max="3" width="34.1090909090909" style="34" customWidth="1"/>
    <col min="4" max="4" width="8.88181818181818" style="34"/>
    <col min="5" max="11" width="10.1090909090909" style="34" customWidth="1"/>
    <col min="12" max="12" width="10.6636363636364" style="34"/>
    <col min="13" max="16384" width="8.88181818181818" style="34"/>
  </cols>
  <sheetData>
    <row r="1" ht="28.8" customHeight="1" spans="1:11">
      <c r="A1" s="36" t="s">
        <v>0</v>
      </c>
      <c r="B1" s="36" t="s">
        <v>0</v>
      </c>
      <c r="C1" s="85" t="s">
        <v>129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3" t="s">
        <v>164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131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pans="1:11">
      <c r="A4" s="20" t="s">
        <v>133</v>
      </c>
      <c r="B4" s="20" t="s">
        <v>0</v>
      </c>
      <c r="C4" s="13" t="s">
        <v>165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"工程数量"&amp;E12&amp;"亩 "</f>
        <v>工程数量70.9亩 </v>
      </c>
      <c r="K4" s="13"/>
    </row>
    <row r="5" spans="1:11">
      <c r="A5" s="20" t="s">
        <v>135</v>
      </c>
      <c r="B5" s="20" t="s">
        <v>0</v>
      </c>
      <c r="C5" s="13" t="s">
        <v>166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"综合单价："&amp;$M$47&amp;"元 "</f>
        <v>综合单价：5343.27元 </v>
      </c>
      <c r="K5" s="13"/>
    </row>
    <row r="6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140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141</v>
      </c>
    </row>
    <row r="8" spans="1:11">
      <c r="A8" s="39" t="s">
        <v>53</v>
      </c>
      <c r="B8" s="39" t="s">
        <v>142</v>
      </c>
      <c r="C8" s="39" t="s">
        <v>143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167</v>
      </c>
      <c r="D9" s="39" t="s">
        <v>168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169</v>
      </c>
      <c r="D10" s="39" t="s">
        <v>168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170</v>
      </c>
      <c r="D11" s="39" t="s">
        <v>168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144</v>
      </c>
      <c r="C12" s="39" t="s">
        <v>145</v>
      </c>
      <c r="D12" s="39" t="s">
        <v>121</v>
      </c>
      <c r="E12" s="39">
        <v>70.9</v>
      </c>
      <c r="F12" s="41">
        <f>SUM(F13:F18)</f>
        <v>84350.272</v>
      </c>
      <c r="G12" s="39">
        <f>SUM(G13:G18)</f>
        <v>32074.185</v>
      </c>
      <c r="H12" s="39" t="s">
        <v>0</v>
      </c>
      <c r="I12" s="62">
        <f t="shared" si="0"/>
        <v>1687.01</v>
      </c>
      <c r="J12" s="62">
        <f t="shared" si="1"/>
        <v>4217.51</v>
      </c>
      <c r="K12" s="39">
        <f t="shared" si="2"/>
        <v>122328.977</v>
      </c>
    </row>
    <row r="13" spans="1:11">
      <c r="A13" s="39" t="s">
        <v>77</v>
      </c>
      <c r="B13" s="39"/>
      <c r="C13" s="39" t="s">
        <v>171</v>
      </c>
      <c r="D13" s="39" t="s">
        <v>168</v>
      </c>
      <c r="E13" s="40">
        <v>113.27</v>
      </c>
      <c r="F13" s="42">
        <f>E13*$L$10*0.95</f>
        <v>13773.632</v>
      </c>
      <c r="G13" s="39" t="s">
        <v>0</v>
      </c>
      <c r="H13" s="39"/>
      <c r="I13" s="62">
        <f t="shared" si="0"/>
        <v>275.47</v>
      </c>
      <c r="J13" s="62">
        <f t="shared" si="1"/>
        <v>688.68</v>
      </c>
      <c r="K13" s="39">
        <f t="shared" si="2"/>
        <v>14737.782</v>
      </c>
    </row>
    <row r="14" spans="1:11">
      <c r="A14" s="39" t="s">
        <v>81</v>
      </c>
      <c r="B14" s="39"/>
      <c r="C14" s="39" t="s">
        <v>172</v>
      </c>
      <c r="D14" s="39" t="s">
        <v>168</v>
      </c>
      <c r="E14" s="40">
        <v>295.46</v>
      </c>
      <c r="F14" s="42">
        <f>E14*$L$10*0.95</f>
        <v>35927.936</v>
      </c>
      <c r="G14" s="39" t="s">
        <v>0</v>
      </c>
      <c r="H14" s="39"/>
      <c r="I14" s="62">
        <f t="shared" si="0"/>
        <v>718.56</v>
      </c>
      <c r="J14" s="62">
        <f t="shared" si="1"/>
        <v>1796.4</v>
      </c>
      <c r="K14" s="39">
        <f t="shared" si="2"/>
        <v>38442.896</v>
      </c>
    </row>
    <row r="15" spans="1:11">
      <c r="A15" s="39" t="s">
        <v>156</v>
      </c>
      <c r="B15" s="39"/>
      <c r="C15" s="39" t="s">
        <v>173</v>
      </c>
      <c r="D15" s="39" t="s">
        <v>168</v>
      </c>
      <c r="E15" s="40">
        <v>157.4</v>
      </c>
      <c r="F15" s="42">
        <f>E15*$L$10*0.95</f>
        <v>19139.84</v>
      </c>
      <c r="G15" s="39" t="s">
        <v>0</v>
      </c>
      <c r="H15" s="39"/>
      <c r="I15" s="62">
        <f t="shared" si="0"/>
        <v>382.8</v>
      </c>
      <c r="J15" s="62">
        <f t="shared" si="1"/>
        <v>956.99</v>
      </c>
      <c r="K15" s="39">
        <f t="shared" si="2"/>
        <v>20479.63</v>
      </c>
    </row>
    <row r="16" spans="1:12">
      <c r="A16" s="39" t="s">
        <v>159</v>
      </c>
      <c r="B16" s="39"/>
      <c r="C16" s="39" t="s">
        <v>174</v>
      </c>
      <c r="D16" s="39" t="s">
        <v>175</v>
      </c>
      <c r="E16" s="40">
        <f>7870*0.6</f>
        <v>4722</v>
      </c>
      <c r="F16" s="78" t="s">
        <v>0</v>
      </c>
      <c r="G16" s="42">
        <f>E16*L16*0.95</f>
        <v>17629.587</v>
      </c>
      <c r="H16" s="39" t="s">
        <v>0</v>
      </c>
      <c r="I16" s="62"/>
      <c r="J16" s="62"/>
      <c r="K16" s="39">
        <f t="shared" si="2"/>
        <v>17629.587</v>
      </c>
      <c r="L16" s="34">
        <v>3.93</v>
      </c>
    </row>
    <row r="17" spans="1:12">
      <c r="A17" s="39">
        <v>10</v>
      </c>
      <c r="B17" s="39"/>
      <c r="C17" s="39" t="s">
        <v>176</v>
      </c>
      <c r="D17" s="39" t="s">
        <v>175</v>
      </c>
      <c r="E17" s="40">
        <f>7870*0.4</f>
        <v>3148</v>
      </c>
      <c r="F17" s="42" t="s">
        <v>0</v>
      </c>
      <c r="G17" s="42">
        <f>E17*L17*0.95</f>
        <v>14444.598</v>
      </c>
      <c r="H17" s="39"/>
      <c r="I17" s="62"/>
      <c r="J17" s="62"/>
      <c r="K17" s="39">
        <f t="shared" si="2"/>
        <v>14444.598</v>
      </c>
      <c r="L17" s="34">
        <v>4.83</v>
      </c>
    </row>
    <row r="18" s="34" customFormat="1" spans="1:11">
      <c r="A18" s="39">
        <v>11</v>
      </c>
      <c r="B18" s="39"/>
      <c r="C18" s="39" t="s">
        <v>177</v>
      </c>
      <c r="D18" s="39" t="s">
        <v>168</v>
      </c>
      <c r="E18" s="40">
        <v>127.54</v>
      </c>
      <c r="F18" s="42">
        <f>E18*$L$10*0.95</f>
        <v>15508.864</v>
      </c>
      <c r="G18" s="39" t="s">
        <v>0</v>
      </c>
      <c r="H18" s="39" t="s">
        <v>0</v>
      </c>
      <c r="I18" s="62">
        <f>ROUND(F18*0.02,2)</f>
        <v>310.18</v>
      </c>
      <c r="J18" s="62">
        <f>ROUND(F18*0.05,2)</f>
        <v>775.44</v>
      </c>
      <c r="K18" s="39">
        <f t="shared" si="2"/>
        <v>16594.484</v>
      </c>
    </row>
    <row r="19" spans="1:11">
      <c r="A19" s="39">
        <v>12</v>
      </c>
      <c r="B19" s="39" t="s">
        <v>146</v>
      </c>
      <c r="C19" s="39" t="s">
        <v>147</v>
      </c>
      <c r="D19" s="39" t="s">
        <v>121</v>
      </c>
      <c r="E19" s="39">
        <v>70.9</v>
      </c>
      <c r="F19" s="41">
        <f>SUM(F20:F22)</f>
        <v>9171.072</v>
      </c>
      <c r="G19" s="39">
        <f>SUM(G20:G22)</f>
        <v>30653.65</v>
      </c>
      <c r="H19" s="39"/>
      <c r="I19" s="62">
        <f t="shared" ref="I19:I32" si="3">ROUND(F19*0.02,2)</f>
        <v>183.42</v>
      </c>
      <c r="J19" s="62">
        <f t="shared" ref="J19:J32" si="4">ROUND(F19*0.05,2)</f>
        <v>458.55</v>
      </c>
      <c r="K19" s="39">
        <f t="shared" si="2"/>
        <v>40466.692</v>
      </c>
    </row>
    <row r="20" s="34" customFormat="1" spans="1:12">
      <c r="A20" s="39">
        <v>13</v>
      </c>
      <c r="B20" s="39"/>
      <c r="C20" s="7" t="s">
        <v>147</v>
      </c>
      <c r="D20" s="39" t="s">
        <v>168</v>
      </c>
      <c r="E20" s="44">
        <v>75.42</v>
      </c>
      <c r="F20" s="42">
        <f>E20*$L$10*0.95</f>
        <v>9171.072</v>
      </c>
      <c r="G20" s="41" t="s">
        <v>0</v>
      </c>
      <c r="H20" s="39"/>
      <c r="I20" s="62">
        <f t="shared" si="3"/>
        <v>183.42</v>
      </c>
      <c r="J20" s="62">
        <f t="shared" si="4"/>
        <v>458.55</v>
      </c>
      <c r="K20" s="39">
        <f t="shared" si="2"/>
        <v>9813.042</v>
      </c>
      <c r="L20" s="34">
        <v>821.7552</v>
      </c>
    </row>
    <row r="21" s="34" customFormat="1" spans="1:12">
      <c r="A21" s="39">
        <v>14</v>
      </c>
      <c r="B21" s="39"/>
      <c r="C21" s="7" t="s">
        <v>178</v>
      </c>
      <c r="D21" s="39" t="s">
        <v>179</v>
      </c>
      <c r="E21" s="44">
        <f>+E16*3+E17*5</f>
        <v>29906</v>
      </c>
      <c r="F21" s="42" t="s">
        <v>0</v>
      </c>
      <c r="G21" s="42">
        <f>E21*0.95</f>
        <v>28410.7</v>
      </c>
      <c r="H21" s="39"/>
      <c r="I21" s="62"/>
      <c r="J21" s="62"/>
      <c r="K21" s="39">
        <f t="shared" si="2"/>
        <v>28410.7</v>
      </c>
      <c r="L21" s="34">
        <v>333937.2</v>
      </c>
    </row>
    <row r="22" s="34" customFormat="1" spans="1:13">
      <c r="A22" s="39">
        <v>15</v>
      </c>
      <c r="B22" s="39"/>
      <c r="C22" s="7" t="s">
        <v>180</v>
      </c>
      <c r="D22" s="39" t="s">
        <v>179</v>
      </c>
      <c r="E22" s="44">
        <f>+E17*0.25</f>
        <v>787</v>
      </c>
      <c r="F22" s="42" t="s">
        <v>0</v>
      </c>
      <c r="G22" s="42">
        <f>E22*M22*0.95</f>
        <v>2242.95</v>
      </c>
      <c r="H22" s="39" t="s">
        <v>0</v>
      </c>
      <c r="I22" s="62"/>
      <c r="J22" s="62"/>
      <c r="K22" s="39">
        <f t="shared" ref="K22:K24" si="5">SUM(F22:J22)</f>
        <v>2242.95</v>
      </c>
      <c r="L22" s="34">
        <v>8725.2</v>
      </c>
      <c r="M22" s="34">
        <v>3</v>
      </c>
    </row>
    <row r="23" spans="1:11">
      <c r="A23" s="39">
        <v>16</v>
      </c>
      <c r="B23" s="39" t="s">
        <v>148</v>
      </c>
      <c r="C23" s="7" t="s">
        <v>149</v>
      </c>
      <c r="D23" s="39" t="s">
        <v>121</v>
      </c>
      <c r="E23" s="39">
        <v>70.9</v>
      </c>
      <c r="F23" s="41">
        <f>SUM(F24)</f>
        <v>42315.584</v>
      </c>
      <c r="G23" s="39"/>
      <c r="H23" s="39"/>
      <c r="I23" s="62">
        <f t="shared" si="3"/>
        <v>846.31</v>
      </c>
      <c r="J23" s="62">
        <f t="shared" si="4"/>
        <v>2115.78</v>
      </c>
      <c r="K23" s="39">
        <f t="shared" si="5"/>
        <v>45277.674</v>
      </c>
    </row>
    <row r="24" spans="1:11">
      <c r="A24" s="39">
        <v>17</v>
      </c>
      <c r="B24" s="39"/>
      <c r="C24" s="7" t="s">
        <v>181</v>
      </c>
      <c r="D24" s="39" t="s">
        <v>168</v>
      </c>
      <c r="E24" s="40">
        <v>347.99</v>
      </c>
      <c r="F24" s="42">
        <f>E24*$L$10*0.95</f>
        <v>42315.584</v>
      </c>
      <c r="G24" s="39"/>
      <c r="H24" s="39"/>
      <c r="I24" s="62">
        <f t="shared" si="3"/>
        <v>846.31</v>
      </c>
      <c r="J24" s="62">
        <f t="shared" si="4"/>
        <v>2115.78</v>
      </c>
      <c r="K24" s="39">
        <f t="shared" si="5"/>
        <v>45277.674</v>
      </c>
    </row>
    <row r="25" spans="1:11">
      <c r="A25" s="39">
        <v>18</v>
      </c>
      <c r="B25" s="39"/>
      <c r="C25" s="7" t="s">
        <v>182</v>
      </c>
      <c r="D25" s="39" t="s">
        <v>183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150</v>
      </c>
      <c r="C26" s="7" t="s">
        <v>151</v>
      </c>
      <c r="D26" s="39" t="s">
        <v>121</v>
      </c>
      <c r="E26" s="39">
        <v>70.9</v>
      </c>
      <c r="F26" s="97">
        <f>SUM(F27:F29)</f>
        <v>2872.192</v>
      </c>
      <c r="G26" s="39">
        <f>SUM(G27:G29)</f>
        <v>4813.1655</v>
      </c>
      <c r="H26" s="39"/>
      <c r="I26" s="62">
        <f t="shared" si="3"/>
        <v>57.44</v>
      </c>
      <c r="J26" s="62">
        <f t="shared" si="4"/>
        <v>143.61</v>
      </c>
      <c r="K26" s="39">
        <f t="shared" ref="K26:K30" si="6">SUM(F26:J26)</f>
        <v>7886.4075</v>
      </c>
    </row>
    <row r="27" spans="1:11">
      <c r="A27" s="39">
        <v>20</v>
      </c>
      <c r="B27" s="39"/>
      <c r="C27" s="7" t="s">
        <v>151</v>
      </c>
      <c r="D27" s="39" t="s">
        <v>168</v>
      </c>
      <c r="E27" s="40">
        <v>23.62</v>
      </c>
      <c r="F27" s="42">
        <f>E27*$L$10*0.95</f>
        <v>2872.192</v>
      </c>
      <c r="G27" s="39" t="s">
        <v>0</v>
      </c>
      <c r="H27" s="39" t="s">
        <v>0</v>
      </c>
      <c r="I27" s="62">
        <f t="shared" si="3"/>
        <v>57.44</v>
      </c>
      <c r="J27" s="62">
        <f t="shared" si="4"/>
        <v>143.61</v>
      </c>
      <c r="K27" s="39">
        <f t="shared" si="6"/>
        <v>3073.242</v>
      </c>
    </row>
    <row r="28" spans="1:13">
      <c r="A28" s="39">
        <v>21</v>
      </c>
      <c r="B28" s="39"/>
      <c r="C28" s="7" t="s">
        <v>174</v>
      </c>
      <c r="D28" s="39" t="s">
        <v>175</v>
      </c>
      <c r="E28" s="40">
        <f>1181*0.6</f>
        <v>708.6</v>
      </c>
      <c r="F28" s="42" t="s">
        <v>0</v>
      </c>
      <c r="G28" s="42">
        <f>E28*M28*0.95</f>
        <v>2645.5581</v>
      </c>
      <c r="H28" s="39"/>
      <c r="I28" s="62"/>
      <c r="J28" s="62"/>
      <c r="K28" s="39">
        <f t="shared" si="6"/>
        <v>2645.5581</v>
      </c>
      <c r="M28" s="34">
        <v>3.93</v>
      </c>
    </row>
    <row r="29" spans="1:13">
      <c r="A29" s="39">
        <v>22</v>
      </c>
      <c r="B29" s="39"/>
      <c r="C29" s="7" t="s">
        <v>176</v>
      </c>
      <c r="D29" s="39" t="s">
        <v>175</v>
      </c>
      <c r="E29" s="40">
        <f>1181*0.4</f>
        <v>472.4</v>
      </c>
      <c r="F29" s="42" t="s">
        <v>0</v>
      </c>
      <c r="G29" s="42">
        <f>E29*M29*0.95</f>
        <v>2167.6074</v>
      </c>
      <c r="H29" s="39"/>
      <c r="I29" s="62"/>
      <c r="J29" s="62"/>
      <c r="K29" s="39">
        <f t="shared" si="6"/>
        <v>2167.6074</v>
      </c>
      <c r="M29" s="34">
        <v>4.83</v>
      </c>
    </row>
    <row r="30" spans="1:11">
      <c r="A30" s="39">
        <v>23</v>
      </c>
      <c r="B30" s="39" t="s">
        <v>152</v>
      </c>
      <c r="C30" s="7" t="s">
        <v>153</v>
      </c>
      <c r="D30" s="39" t="s">
        <v>121</v>
      </c>
      <c r="E30" s="39">
        <v>70.9</v>
      </c>
      <c r="F30" s="41">
        <f>SUM(F31:F32)</f>
        <v>27515.648</v>
      </c>
      <c r="G30" s="39">
        <f>SUM(G31:G32)</f>
        <v>52622.514</v>
      </c>
      <c r="H30" s="39"/>
      <c r="I30" s="62">
        <f t="shared" si="3"/>
        <v>550.31</v>
      </c>
      <c r="J30" s="62">
        <f t="shared" si="4"/>
        <v>1375.78</v>
      </c>
      <c r="K30" s="39">
        <f t="shared" si="6"/>
        <v>82064.252</v>
      </c>
    </row>
    <row r="31" s="34" customFormat="1" spans="1:12">
      <c r="A31" s="39">
        <v>24</v>
      </c>
      <c r="B31" s="60"/>
      <c r="C31" s="98" t="s">
        <v>153</v>
      </c>
      <c r="D31" s="60" t="s">
        <v>168</v>
      </c>
      <c r="E31" s="99">
        <v>226.28</v>
      </c>
      <c r="F31" s="42">
        <f>E31*$L$10*0.95</f>
        <v>27515.648</v>
      </c>
      <c r="G31" s="60" t="s">
        <v>0</v>
      </c>
      <c r="H31" s="60"/>
      <c r="I31" s="62">
        <f t="shared" si="3"/>
        <v>550.31</v>
      </c>
      <c r="J31" s="62">
        <f t="shared" si="4"/>
        <v>1375.78</v>
      </c>
      <c r="K31" s="60">
        <f t="shared" ref="K31:K32" si="7">SUM(F31:J31)</f>
        <v>29441.738</v>
      </c>
      <c r="L31" s="34">
        <v>1760.904</v>
      </c>
    </row>
    <row r="32" s="96" customFormat="1" spans="1:13">
      <c r="A32" s="39">
        <v>25</v>
      </c>
      <c r="B32" s="39"/>
      <c r="C32" s="7" t="s">
        <v>180</v>
      </c>
      <c r="D32" s="39" t="s">
        <v>179</v>
      </c>
      <c r="E32" s="40">
        <f>+(E16+E28)*3+(E17+E29)*0.6</f>
        <v>18464.04</v>
      </c>
      <c r="F32" s="42"/>
      <c r="G32" s="42">
        <f>E32*M32*0.95</f>
        <v>52622.514</v>
      </c>
      <c r="H32" s="39" t="s">
        <v>0</v>
      </c>
      <c r="I32" s="62"/>
      <c r="J32" s="62"/>
      <c r="K32" s="39">
        <f t="shared" si="7"/>
        <v>52622.514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129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3" t="s">
        <v>184</v>
      </c>
      <c r="K33" s="43" t="s">
        <v>0</v>
      </c>
    </row>
    <row r="34" s="96" customFormat="1" spans="1:11">
      <c r="A34" s="38" t="s">
        <v>130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154</v>
      </c>
      <c r="C35" s="7" t="s">
        <v>155</v>
      </c>
      <c r="D35" s="39" t="s">
        <v>121</v>
      </c>
      <c r="E35" s="39">
        <v>70.9</v>
      </c>
      <c r="F35" s="41">
        <f>SUM(F36:F37)</f>
        <v>20877.504</v>
      </c>
      <c r="G35" s="39">
        <f>SUM(G36:G37)</f>
        <v>12019.305</v>
      </c>
      <c r="H35" s="39"/>
      <c r="I35" s="62">
        <f>ROUND(F35*0.02,2)</f>
        <v>417.55</v>
      </c>
      <c r="J35" s="62">
        <f>ROUND(F35*0.05,2)</f>
        <v>1043.88</v>
      </c>
      <c r="K35" s="39">
        <f>SUM(F35:J35)</f>
        <v>34358.239</v>
      </c>
    </row>
    <row r="36" s="34" customFormat="1" spans="1:12">
      <c r="A36" s="39">
        <v>27</v>
      </c>
      <c r="B36" s="100"/>
      <c r="C36" s="7" t="s">
        <v>155</v>
      </c>
      <c r="D36" s="100" t="s">
        <v>168</v>
      </c>
      <c r="E36" s="101">
        <v>171.69</v>
      </c>
      <c r="F36" s="42">
        <f>E36*$L$10*0.95</f>
        <v>20877.504</v>
      </c>
      <c r="G36" s="100" t="s">
        <v>0</v>
      </c>
      <c r="H36" s="100"/>
      <c r="I36" s="62">
        <f>ROUND(F36*0.02,2)</f>
        <v>417.55</v>
      </c>
      <c r="J36" s="62">
        <f>ROUND(F36*0.05,2)</f>
        <v>1043.88</v>
      </c>
      <c r="K36" s="39">
        <f>SUM(F36:J36)</f>
        <v>22338.934</v>
      </c>
      <c r="L36" s="34">
        <v>1665.72</v>
      </c>
    </row>
    <row r="37" s="34" customFormat="1" spans="1:13">
      <c r="A37" s="39">
        <v>28</v>
      </c>
      <c r="B37" s="39"/>
      <c r="C37" s="7" t="s">
        <v>185</v>
      </c>
      <c r="D37" s="39" t="s">
        <v>179</v>
      </c>
      <c r="E37" s="40">
        <v>543</v>
      </c>
      <c r="F37" s="42" t="s">
        <v>0</v>
      </c>
      <c r="G37" s="42">
        <f>E37*M37*0.95</f>
        <v>12019.305</v>
      </c>
      <c r="H37" s="39" t="s">
        <v>0</v>
      </c>
      <c r="I37" s="62"/>
      <c r="J37" s="62"/>
      <c r="K37" s="39">
        <f>SUM(F37:J37)</f>
        <v>12019.305</v>
      </c>
      <c r="L37" s="34">
        <v>5282.712</v>
      </c>
      <c r="M37" s="34">
        <v>23.3</v>
      </c>
    </row>
    <row r="38" spans="1:11">
      <c r="A38" s="39">
        <v>29</v>
      </c>
      <c r="B38" s="39" t="s">
        <v>157</v>
      </c>
      <c r="C38" s="7" t="s">
        <v>158</v>
      </c>
      <c r="D38" s="39" t="s">
        <v>121</v>
      </c>
      <c r="E38" s="39">
        <v>70.9</v>
      </c>
      <c r="F38" s="41">
        <f>SUM(F39)</f>
        <v>2155.36</v>
      </c>
      <c r="G38" s="39"/>
      <c r="H38" s="39"/>
      <c r="I38" s="62">
        <f>ROUND(F38*0.02,2)</f>
        <v>43.11</v>
      </c>
      <c r="J38" s="62">
        <f>ROUND(F38*0.05,2)</f>
        <v>107.77</v>
      </c>
      <c r="K38" s="39">
        <f>SUM(F38:J38)</f>
        <v>2306.24</v>
      </c>
    </row>
    <row r="39" spans="1:12">
      <c r="A39" s="39">
        <v>30</v>
      </c>
      <c r="B39" s="39"/>
      <c r="C39" s="7" t="s">
        <v>158</v>
      </c>
      <c r="D39" s="39" t="s">
        <v>121</v>
      </c>
      <c r="E39" s="40">
        <v>70.9</v>
      </c>
      <c r="F39" s="42">
        <f>E39*L39*0.95</f>
        <v>2155.36</v>
      </c>
      <c r="G39" s="39"/>
      <c r="H39" s="39"/>
      <c r="I39" s="62">
        <f>ROUND(F39*0.02,2)</f>
        <v>43.11</v>
      </c>
      <c r="J39" s="62">
        <f>ROUND(F39*0.05,2)</f>
        <v>107.77</v>
      </c>
      <c r="K39" s="39">
        <f>SUM(F39:J39)</f>
        <v>2306.24</v>
      </c>
      <c r="L39" s="34">
        <v>32</v>
      </c>
    </row>
    <row r="40" spans="1:11">
      <c r="A40" s="39">
        <v>31</v>
      </c>
      <c r="B40" s="39"/>
      <c r="C40" s="7" t="s">
        <v>186</v>
      </c>
      <c r="D40" s="39" t="s">
        <v>187</v>
      </c>
      <c r="E40" s="39"/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160</v>
      </c>
      <c r="C41" s="7" t="s">
        <v>161</v>
      </c>
      <c r="D41" s="39" t="s">
        <v>162</v>
      </c>
      <c r="E41" s="40">
        <v>114</v>
      </c>
      <c r="F41" s="42">
        <f>139897.02/1279*E41*0.95</f>
        <v>11845.854</v>
      </c>
      <c r="G41" s="39" t="s">
        <v>0</v>
      </c>
      <c r="H41" s="42">
        <f>371702.98/1279*E41*0.95</f>
        <v>31474.146</v>
      </c>
      <c r="I41" s="62">
        <f t="shared" ref="I41" si="8">ROUND(F41*0.02,2)</f>
        <v>236.92</v>
      </c>
      <c r="J41" s="62">
        <f t="shared" ref="J41" si="9">ROUND(F41*0.05,2)</f>
        <v>592.29</v>
      </c>
      <c r="K41" s="39">
        <f t="shared" ref="K41:K46" si="10">SUM(F41:J41)</f>
        <v>44149.21</v>
      </c>
    </row>
    <row r="42" spans="1:11">
      <c r="A42" s="39">
        <v>33</v>
      </c>
      <c r="B42" s="39"/>
      <c r="C42" s="7" t="s">
        <v>188</v>
      </c>
      <c r="D42" s="39" t="s">
        <v>189</v>
      </c>
      <c r="E42" s="39"/>
      <c r="F42" s="102"/>
      <c r="G42" s="46"/>
      <c r="H42" s="42">
        <f>30917.72/1279*E41*0.95</f>
        <v>2617.97425801407</v>
      </c>
      <c r="I42" s="46"/>
      <c r="J42" s="46"/>
      <c r="K42" s="39">
        <f t="shared" si="10"/>
        <v>2617.97425801407</v>
      </c>
    </row>
    <row r="43" spans="1:11">
      <c r="A43" s="39">
        <v>34</v>
      </c>
      <c r="B43" s="96"/>
      <c r="C43" s="7" t="s">
        <v>190</v>
      </c>
      <c r="D43" s="39" t="s">
        <v>189</v>
      </c>
      <c r="E43" s="103"/>
      <c r="F43" s="104"/>
      <c r="G43" s="103"/>
      <c r="H43" s="42">
        <f>10982.09*0.95</f>
        <v>10432.9855</v>
      </c>
      <c r="I43" s="103"/>
      <c r="J43" s="103"/>
      <c r="K43" s="39">
        <f t="shared" si="10"/>
        <v>10432.9855</v>
      </c>
    </row>
    <row r="44" spans="1:11">
      <c r="A44" s="39">
        <v>35</v>
      </c>
      <c r="B44" s="96"/>
      <c r="C44" s="7" t="s">
        <v>191</v>
      </c>
      <c r="D44" s="39" t="s">
        <v>189</v>
      </c>
      <c r="E44" s="103"/>
      <c r="F44" s="104"/>
      <c r="G44" s="105"/>
      <c r="H44" s="42">
        <f>23176.63/1279*E41*0.95</f>
        <v>1962.49337685692</v>
      </c>
      <c r="I44" s="105"/>
      <c r="J44" s="105"/>
      <c r="K44" s="39">
        <f t="shared" si="10"/>
        <v>1962.49337685692</v>
      </c>
    </row>
    <row r="45" spans="1:11">
      <c r="A45" s="39">
        <v>36</v>
      </c>
      <c r="B45" s="96"/>
      <c r="C45" s="7" t="s">
        <v>192</v>
      </c>
      <c r="D45" s="39" t="s">
        <v>168</v>
      </c>
      <c r="E45" s="103"/>
      <c r="F45" s="42">
        <f>139897.02*0.95</f>
        <v>132902.169</v>
      </c>
      <c r="G45" s="105"/>
      <c r="H45" s="39"/>
      <c r="I45" s="62">
        <f>ROUND(F45*0.02,2)</f>
        <v>2658.04</v>
      </c>
      <c r="J45" s="62">
        <f>ROUND(F45*0.05,2)</f>
        <v>6645.11</v>
      </c>
      <c r="K45" s="39">
        <f t="shared" si="10"/>
        <v>142205.319</v>
      </c>
    </row>
    <row r="46" spans="1:11">
      <c r="A46" s="39">
        <v>37</v>
      </c>
      <c r="B46" s="96"/>
      <c r="C46" s="7" t="s">
        <v>193</v>
      </c>
      <c r="D46" s="39" t="s">
        <v>194</v>
      </c>
      <c r="E46" s="103"/>
      <c r="F46" s="104"/>
      <c r="G46" s="105"/>
      <c r="H46" s="42">
        <f>306626.54/1279*E41*0.95</f>
        <v>25963.7640985145</v>
      </c>
      <c r="I46" s="105"/>
      <c r="J46" s="105"/>
      <c r="K46" s="39">
        <f t="shared" si="10"/>
        <v>25963.7640985145</v>
      </c>
    </row>
    <row r="47" spans="1:13">
      <c r="A47" s="96"/>
      <c r="B47" s="96"/>
      <c r="C47" s="7" t="s">
        <v>163</v>
      </c>
      <c r="D47" s="96"/>
      <c r="E47" s="103"/>
      <c r="F47" s="106">
        <f>SUM(F8,F12,F19,F23,F26,F30,F35,F38,F41,)</f>
        <v>201103.486</v>
      </c>
      <c r="G47" s="106">
        <f t="shared" ref="F47:K47" si="11">SUM(G8,G12,G19,G23,G26,G30,G35,G38,G41,)</f>
        <v>132182.8195</v>
      </c>
      <c r="H47" s="106">
        <f t="shared" si="11"/>
        <v>31474.146</v>
      </c>
      <c r="I47" s="106">
        <f t="shared" si="11"/>
        <v>4022.07</v>
      </c>
      <c r="J47" s="106">
        <f t="shared" si="11"/>
        <v>10055.17</v>
      </c>
      <c r="K47" s="106">
        <f t="shared" si="11"/>
        <v>378837.6915</v>
      </c>
      <c r="M47" s="34">
        <f>ROUND(K47/E38,2)</f>
        <v>5343.27</v>
      </c>
    </row>
    <row r="48" spans="7:11">
      <c r="G48" s="43" t="s">
        <v>29</v>
      </c>
      <c r="H48" s="43"/>
      <c r="I48" s="43"/>
      <c r="J48" s="43"/>
      <c r="K48" s="43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5" max="5" width="9" customWidth="1"/>
    <col min="6" max="6" width="28.8818181818182" customWidth="1"/>
    <col min="7" max="7" width="13.7818181818182" customWidth="1"/>
    <col min="8" max="8" width="7" customWidth="1"/>
    <col min="9" max="9" width="11.7272727272727"/>
    <col min="10" max="10" width="4.44545454545455" customWidth="1"/>
    <col min="11" max="11" width="5.10909090909091" customWidth="1"/>
    <col min="12" max="12" width="11.3363636363636" customWidth="1"/>
    <col min="13" max="13" width="7.33636363636364" customWidth="1"/>
    <col min="14" max="14" width="12.8909090909091"/>
    <col min="15" max="15" width="9.66363636363636"/>
    <col min="16" max="17" width="12.8909090909091"/>
  </cols>
  <sheetData>
    <row r="1" ht="21" spans="1:13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196</v>
      </c>
      <c r="M1" s="9"/>
    </row>
    <row r="2" ht="21" customHeight="1" spans="1:13">
      <c r="A2" s="20" t="s">
        <v>24</v>
      </c>
      <c r="B2" s="20" t="s">
        <v>0</v>
      </c>
      <c r="C2" s="13" t="s">
        <v>131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132</v>
      </c>
      <c r="L2" s="13" t="s">
        <v>0</v>
      </c>
      <c r="M2" s="27"/>
    </row>
    <row r="3" ht="20.4" customHeight="1" spans="1:13">
      <c r="A3" s="20" t="s">
        <v>133</v>
      </c>
      <c r="B3" s="20" t="s">
        <v>0</v>
      </c>
      <c r="C3" s="13" t="s">
        <v>197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分部分项工程量清单综合单价计算表(分页带材料)ZL型'!J4</f>
        <v>工程数量70.9亩 </v>
      </c>
      <c r="L3" s="13" t="s">
        <v>0</v>
      </c>
      <c r="M3" s="11"/>
    </row>
    <row r="4" ht="22.2" customHeight="1" spans="1:13">
      <c r="A4" s="20" t="s">
        <v>135</v>
      </c>
      <c r="B4" s="20" t="s">
        <v>0</v>
      </c>
      <c r="C4" s="13" t="s">
        <v>198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199</v>
      </c>
      <c r="G5" s="3" t="s">
        <v>200</v>
      </c>
      <c r="H5" s="3" t="s">
        <v>201</v>
      </c>
      <c r="I5" s="3" t="s">
        <v>202</v>
      </c>
      <c r="J5" s="3" t="s">
        <v>203</v>
      </c>
      <c r="K5" s="3" t="s">
        <v>0</v>
      </c>
      <c r="L5" s="3" t="s">
        <v>204</v>
      </c>
      <c r="M5" s="3" t="s">
        <v>205</v>
      </c>
    </row>
    <row r="6" ht="20" customHeight="1" spans="1:13">
      <c r="A6" s="3" t="s">
        <v>53</v>
      </c>
      <c r="B6" s="3" t="s">
        <v>206</v>
      </c>
      <c r="C6" s="3" t="s">
        <v>0</v>
      </c>
      <c r="D6" s="8" t="s">
        <v>207</v>
      </c>
      <c r="E6" s="8" t="s">
        <v>0</v>
      </c>
      <c r="F6" s="3"/>
      <c r="G6" s="3"/>
      <c r="H6" s="3"/>
      <c r="I6" s="3">
        <f>SUM(I7:I10)</f>
        <v>5166.9265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208</v>
      </c>
      <c r="B7" s="3" t="s">
        <v>209</v>
      </c>
      <c r="C7" s="3" t="s">
        <v>0</v>
      </c>
      <c r="D7" s="8" t="s">
        <v>210</v>
      </c>
      <c r="E7" s="8" t="s">
        <v>0</v>
      </c>
      <c r="F7" s="3" t="s">
        <v>211</v>
      </c>
      <c r="G7" s="15">
        <f>Q7</f>
        <v>388490.6615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378837.6915</v>
      </c>
      <c r="O7">
        <f>'G.1规费、税金项目清单计价表-ZL型'!F6</f>
        <v>9652.97</v>
      </c>
      <c r="P7">
        <f>'F.1其他项目清单与计价汇总表(ZL型）'!C5</f>
        <v>0</v>
      </c>
      <c r="Q7">
        <f>N7+O7+P7</f>
        <v>388490.6615</v>
      </c>
    </row>
    <row r="8" ht="30" customHeight="1" spans="1:13">
      <c r="A8" s="3" t="s">
        <v>212</v>
      </c>
      <c r="B8" s="3" t="s">
        <v>213</v>
      </c>
      <c r="C8" s="3" t="s">
        <v>0</v>
      </c>
      <c r="D8" s="8" t="s">
        <v>214</v>
      </c>
      <c r="E8" s="8" t="s">
        <v>0</v>
      </c>
      <c r="F8" s="3" t="s">
        <v>211</v>
      </c>
      <c r="G8" s="15">
        <f>$G$7</f>
        <v>388490.6615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215</v>
      </c>
      <c r="B9" s="3" t="s">
        <v>216</v>
      </c>
      <c r="C9" s="3" t="s">
        <v>0</v>
      </c>
      <c r="D9" s="8" t="s">
        <v>217</v>
      </c>
      <c r="E9" s="8" t="s">
        <v>0</v>
      </c>
      <c r="F9" s="3" t="s">
        <v>211</v>
      </c>
      <c r="G9" s="15">
        <f t="shared" ref="G9:G12" si="1">$G$7</f>
        <v>388490.6615</v>
      </c>
      <c r="H9" s="16">
        <v>1.4</v>
      </c>
      <c r="I9" s="16">
        <f t="shared" si="0"/>
        <v>5166.9265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218</v>
      </c>
      <c r="B10" s="3" t="s">
        <v>219</v>
      </c>
      <c r="C10" s="3" t="s">
        <v>0</v>
      </c>
      <c r="D10" s="8" t="s">
        <v>220</v>
      </c>
      <c r="E10" s="8" t="s">
        <v>0</v>
      </c>
      <c r="F10" s="3" t="s">
        <v>211</v>
      </c>
      <c r="G10" s="15">
        <f t="shared" si="1"/>
        <v>388490.6615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221</v>
      </c>
      <c r="C11" s="3" t="s">
        <v>0</v>
      </c>
      <c r="D11" s="8" t="s">
        <v>222</v>
      </c>
      <c r="E11" s="8" t="s">
        <v>0</v>
      </c>
      <c r="F11" s="3" t="s">
        <v>211</v>
      </c>
      <c r="G11" s="15">
        <f t="shared" si="1"/>
        <v>388490.6615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223</v>
      </c>
      <c r="C12" s="3" t="s">
        <v>0</v>
      </c>
      <c r="D12" s="8" t="s">
        <v>224</v>
      </c>
      <c r="E12" s="8" t="s">
        <v>0</v>
      </c>
      <c r="F12" s="3" t="s">
        <v>211</v>
      </c>
      <c r="G12" s="15">
        <f t="shared" si="1"/>
        <v>388490.6615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225</v>
      </c>
      <c r="C13" s="3" t="s">
        <v>0</v>
      </c>
      <c r="D13" s="8" t="s">
        <v>226</v>
      </c>
      <c r="E13" s="8" t="s">
        <v>0</v>
      </c>
      <c r="F13" s="3" t="s">
        <v>211</v>
      </c>
      <c r="G13" s="15">
        <f t="shared" ref="G13" si="2">$G$7</f>
        <v>388490.6615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227</v>
      </c>
      <c r="C14" s="3" t="s">
        <v>0</v>
      </c>
      <c r="D14" s="8" t="s">
        <v>228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229</v>
      </c>
      <c r="C15" s="3" t="s">
        <v>0</v>
      </c>
      <c r="D15" s="8" t="s">
        <v>230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231</v>
      </c>
      <c r="C16" s="3" t="s">
        <v>0</v>
      </c>
      <c r="D16" s="8" t="s">
        <v>232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156</v>
      </c>
      <c r="B17" s="3" t="s">
        <v>233</v>
      </c>
      <c r="C17" s="3" t="s">
        <v>0</v>
      </c>
      <c r="D17" s="8" t="s">
        <v>234</v>
      </c>
      <c r="E17" s="8" t="s">
        <v>0</v>
      </c>
      <c r="F17" s="3" t="s">
        <v>211</v>
      </c>
      <c r="G17" s="15">
        <f t="shared" ref="G17" si="3">$G$7</f>
        <v>388490.6615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141</v>
      </c>
      <c r="B18" s="25"/>
      <c r="C18" s="25"/>
      <c r="D18" s="25"/>
      <c r="E18" s="25"/>
      <c r="F18" s="26"/>
      <c r="G18" s="26"/>
      <c r="H18" s="26"/>
      <c r="I18" s="76">
        <f>SUM(I7:I17)</f>
        <v>5166.9265</v>
      </c>
      <c r="J18" s="32"/>
      <c r="K18" s="33"/>
      <c r="L18" s="26"/>
      <c r="M18" s="26"/>
    </row>
    <row r="19" ht="43.8" customHeight="1" spans="1:13">
      <c r="A19" s="13" t="s">
        <v>235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ht="14.4" customHeight="1"/>
    <row r="23" ht="14.4" customHeight="1"/>
    <row r="24" ht="14.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ht="14.4" customHeight="1"/>
    <row r="43" ht="14.4" customHeight="1"/>
    <row r="44" ht="14.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4" sqref="E4:F4"/>
    </sheetView>
  </sheetViews>
  <sheetFormatPr defaultColWidth="9" defaultRowHeight="14" outlineLevelCol="7"/>
  <cols>
    <col min="2" max="2" width="27.3363636363636" customWidth="1"/>
    <col min="3" max="3" width="11.8818181818182" customWidth="1"/>
    <col min="4" max="4" width="13.6636363636364" customWidth="1"/>
    <col min="5" max="5" width="19.7818181818182" customWidth="1"/>
    <col min="6" max="6" width="30.2090909090909" customWidth="1"/>
  </cols>
  <sheetData>
    <row r="1" ht="25.2" customHeight="1" spans="1:6">
      <c r="A1" s="1" t="s">
        <v>236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131</v>
      </c>
      <c r="C3" s="13"/>
      <c r="D3" s="13"/>
      <c r="E3" s="13"/>
      <c r="F3" s="12" t="str">
        <f>'E.1分部分项工程总价措施项目清单计价表-ZL型'!K3</f>
        <v>工程数量70.9亩 </v>
      </c>
      <c r="G3" s="12" t="s">
        <v>0</v>
      </c>
      <c r="H3" s="27"/>
    </row>
    <row r="4" spans="1:6">
      <c r="A4" s="3" t="s">
        <v>32</v>
      </c>
      <c r="B4" s="3" t="s">
        <v>237</v>
      </c>
      <c r="C4" s="3" t="s">
        <v>50</v>
      </c>
      <c r="D4" s="3" t="s">
        <v>238</v>
      </c>
      <c r="E4" s="3" t="s">
        <v>205</v>
      </c>
      <c r="F4" s="3" t="s">
        <v>0</v>
      </c>
    </row>
    <row r="5" spans="1:6">
      <c r="A5" s="3" t="s">
        <v>53</v>
      </c>
      <c r="B5" s="8" t="s">
        <v>239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240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241</v>
      </c>
      <c r="C7" s="3" t="s">
        <v>43</v>
      </c>
      <c r="D7" s="18" t="s">
        <v>0</v>
      </c>
      <c r="E7" s="3"/>
      <c r="F7" s="3"/>
    </row>
    <row r="8" spans="1:6">
      <c r="A8" s="3" t="s">
        <v>242</v>
      </c>
      <c r="B8" s="8" t="s">
        <v>243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244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245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.78181818181818" customWidth="1"/>
    <col min="2" max="2" width="23.4454545454545" customWidth="1"/>
    <col min="3" max="3" width="19.2090909090909" customWidth="1"/>
    <col min="4" max="4" width="23.5545454545455" customWidth="1"/>
    <col min="5" max="5" width="16.2090909090909" customWidth="1"/>
  </cols>
  <sheetData>
    <row r="1" ht="29.4" customHeight="1" spans="1:5">
      <c r="A1" s="10" t="s">
        <v>246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131</v>
      </c>
      <c r="C3" s="13"/>
      <c r="D3" s="13"/>
      <c r="E3" s="12" t="s">
        <v>132</v>
      </c>
    </row>
    <row r="4" ht="20.4" customHeight="1" spans="1:5">
      <c r="A4" s="12" t="s">
        <v>133</v>
      </c>
      <c r="B4" s="13" t="s">
        <v>247</v>
      </c>
      <c r="C4" s="13"/>
      <c r="D4" s="13"/>
      <c r="E4" s="12" t="str">
        <f>'F.1其他项目清单与计价汇总表(ZL型）'!F3</f>
        <v>工程数量70.9亩 </v>
      </c>
    </row>
    <row r="5" ht="22.2" customHeight="1" spans="1:5">
      <c r="A5" s="12" t="s">
        <v>135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248</v>
      </c>
      <c r="D6" s="3" t="s">
        <v>249</v>
      </c>
      <c r="E6" s="3" t="s">
        <v>205</v>
      </c>
    </row>
    <row r="7" ht="19.95" customHeight="1" spans="1:5">
      <c r="A7" s="3" t="s">
        <v>53</v>
      </c>
      <c r="B7" s="8" t="s">
        <v>239</v>
      </c>
      <c r="C7" s="3" t="s">
        <v>250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128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251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2" max="2" width="16.4454545454545" customWidth="1"/>
    <col min="3" max="3" width="37.1090909090909" customWidth="1"/>
    <col min="4" max="6" width="14.2090909090909" customWidth="1"/>
  </cols>
  <sheetData>
    <row r="1" ht="29.4" customHeight="1" spans="1:6">
      <c r="A1" s="10" t="s">
        <v>252</v>
      </c>
      <c r="B1" s="10"/>
      <c r="C1" s="10"/>
      <c r="D1" s="10"/>
      <c r="E1" s="10"/>
      <c r="F1" s="11" t="s">
        <v>47</v>
      </c>
    </row>
    <row r="2" ht="14.4" customHeight="1" spans="1:6">
      <c r="A2" s="12" t="s">
        <v>24</v>
      </c>
      <c r="B2" s="13" t="s">
        <v>131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253</v>
      </c>
      <c r="C3" s="13"/>
      <c r="D3" s="13"/>
      <c r="E3" s="28" t="str">
        <f>'F1.1暂列金额明细表（ZL型）'!E4</f>
        <v>工程数量70.9亩 </v>
      </c>
      <c r="F3" s="28" t="s">
        <v>0</v>
      </c>
    </row>
    <row r="4" ht="14.4" customHeight="1" spans="1:6">
      <c r="A4" s="12" t="s">
        <v>135</v>
      </c>
      <c r="B4" s="14" t="s">
        <v>254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199</v>
      </c>
      <c r="D5" s="3" t="s">
        <v>200</v>
      </c>
      <c r="E5" s="3" t="s">
        <v>255</v>
      </c>
      <c r="F5" s="3" t="s">
        <v>256</v>
      </c>
    </row>
    <row r="6" ht="50.4" customHeight="1" spans="1:6">
      <c r="A6" s="3" t="s">
        <v>53</v>
      </c>
      <c r="B6" s="8" t="s">
        <v>39</v>
      </c>
      <c r="C6" s="3" t="s">
        <v>257</v>
      </c>
      <c r="D6" s="15">
        <f>'D3-3 分部分项工程量清单综合单价计算表(分页不带材料)~1'!F17</f>
        <v>201103.486</v>
      </c>
      <c r="E6" s="16">
        <v>4.8</v>
      </c>
      <c r="F6" s="3">
        <f>ROUND(D6*E6/100,2)</f>
        <v>9652.97</v>
      </c>
    </row>
    <row r="7" ht="50.4" customHeight="1" spans="1:6">
      <c r="A7" s="3" t="s">
        <v>60</v>
      </c>
      <c r="B7" s="8" t="s">
        <v>82</v>
      </c>
      <c r="C7" s="3" t="s">
        <v>258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393657.588</v>
      </c>
      <c r="E7" s="3">
        <v>9</v>
      </c>
      <c r="F7" s="3">
        <f>ROUND(D7*E7/100,2)</f>
        <v>35429.18</v>
      </c>
    </row>
    <row r="8" ht="39" spans="1:6">
      <c r="A8" s="3">
        <v>3</v>
      </c>
      <c r="B8" s="8" t="s">
        <v>83</v>
      </c>
      <c r="C8" s="3" t="s">
        <v>258</v>
      </c>
      <c r="D8" s="17">
        <f>D7</f>
        <v>393657.588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163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45082.15</v>
      </c>
    </row>
    <row r="14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B9" sqref="B9"/>
    </sheetView>
  </sheetViews>
  <sheetFormatPr defaultColWidth="9" defaultRowHeight="14" outlineLevelRow="5" outlineLevelCol="1"/>
  <cols>
    <col min="1" max="1" width="11.4454545454545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1" t="s">
        <v>26</v>
      </c>
      <c r="B3" s="122" t="s">
        <v>0</v>
      </c>
    </row>
    <row r="4" ht="53.4" customHeight="1" spans="1:2">
      <c r="A4" s="123" t="s">
        <v>27</v>
      </c>
      <c r="B4" s="124" t="s">
        <v>0</v>
      </c>
    </row>
    <row r="5" ht="29" customHeight="1" spans="1:2">
      <c r="A5" s="125" t="s">
        <v>28</v>
      </c>
      <c r="B5" s="126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F25" sqref="F25"/>
    </sheetView>
  </sheetViews>
  <sheetFormatPr defaultColWidth="9" defaultRowHeight="14" outlineLevelCol="5"/>
  <cols>
    <col min="1" max="1" width="6.66363636363636" customWidth="1"/>
    <col min="2" max="2" width="11" customWidth="1"/>
    <col min="3" max="3" width="29" customWidth="1"/>
    <col min="4" max="4" width="33.5545454545455" customWidth="1"/>
    <col min="5" max="5" width="8.88181818181818" customWidth="1"/>
    <col min="6" max="6" width="10.4454545454545" customWidth="1"/>
  </cols>
  <sheetData>
    <row r="1" ht="26.4" customHeight="1" spans="1:6">
      <c r="A1" s="1" t="s">
        <v>259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260</v>
      </c>
      <c r="C3" s="3" t="s">
        <v>261</v>
      </c>
      <c r="D3" s="3" t="s">
        <v>262</v>
      </c>
      <c r="E3" s="3" t="s">
        <v>110</v>
      </c>
      <c r="F3" s="3" t="s">
        <v>263</v>
      </c>
    </row>
    <row r="4" ht="19.95" customHeight="1" spans="1:6">
      <c r="A4" s="3" t="s">
        <v>53</v>
      </c>
      <c r="B4" s="3" t="s">
        <v>264</v>
      </c>
      <c r="C4" s="8" t="s">
        <v>265</v>
      </c>
      <c r="D4" s="8" t="s">
        <v>0</v>
      </c>
      <c r="E4" s="3" t="s">
        <v>168</v>
      </c>
      <c r="F4" s="3">
        <v>232</v>
      </c>
    </row>
    <row r="5" ht="19.95" customHeight="1" spans="1:6">
      <c r="A5" s="3" t="s">
        <v>60</v>
      </c>
      <c r="B5" s="3" t="s">
        <v>266</v>
      </c>
      <c r="C5" s="8" t="s">
        <v>169</v>
      </c>
      <c r="D5" s="8" t="s">
        <v>0</v>
      </c>
      <c r="E5" s="3" t="s">
        <v>168</v>
      </c>
      <c r="F5" s="3">
        <v>128</v>
      </c>
    </row>
    <row r="6" ht="19.95" customHeight="1" spans="1:6">
      <c r="A6" s="3" t="s">
        <v>64</v>
      </c>
      <c r="B6" s="3" t="s">
        <v>267</v>
      </c>
      <c r="C6" s="8" t="s">
        <v>170</v>
      </c>
      <c r="D6" s="8" t="s">
        <v>0</v>
      </c>
      <c r="E6" s="3" t="s">
        <v>168</v>
      </c>
      <c r="F6" s="3">
        <v>128</v>
      </c>
    </row>
    <row r="7" ht="19.95" customHeight="1" spans="1:6">
      <c r="A7" s="3" t="s">
        <v>74</v>
      </c>
      <c r="B7" s="3" t="s">
        <v>268</v>
      </c>
      <c r="C7" s="8" t="s">
        <v>171</v>
      </c>
      <c r="D7" s="8" t="s">
        <v>0</v>
      </c>
      <c r="E7" s="3" t="s">
        <v>168</v>
      </c>
      <c r="F7" s="3">
        <v>128</v>
      </c>
    </row>
    <row r="8" ht="19.95" customHeight="1" spans="1:6">
      <c r="A8" s="3" t="s">
        <v>75</v>
      </c>
      <c r="B8" s="3" t="s">
        <v>269</v>
      </c>
      <c r="C8" s="8" t="s">
        <v>172</v>
      </c>
      <c r="D8" s="8" t="s">
        <v>0</v>
      </c>
      <c r="E8" s="3" t="s">
        <v>168</v>
      </c>
      <c r="F8" s="3">
        <v>128</v>
      </c>
    </row>
    <row r="9" ht="19.95" customHeight="1" spans="1:6">
      <c r="A9" s="3" t="s">
        <v>77</v>
      </c>
      <c r="B9" s="3" t="s">
        <v>270</v>
      </c>
      <c r="C9" s="8" t="s">
        <v>173</v>
      </c>
      <c r="D9" s="8" t="s">
        <v>0</v>
      </c>
      <c r="E9" s="3" t="s">
        <v>168</v>
      </c>
      <c r="F9" s="3">
        <v>128</v>
      </c>
    </row>
    <row r="10" ht="19.95" customHeight="1" spans="1:6">
      <c r="A10" s="3" t="s">
        <v>81</v>
      </c>
      <c r="B10" s="3" t="s">
        <v>271</v>
      </c>
      <c r="C10" s="8" t="s">
        <v>272</v>
      </c>
      <c r="D10" s="8" t="s">
        <v>0</v>
      </c>
      <c r="E10" s="3" t="s">
        <v>168</v>
      </c>
      <c r="F10" s="3">
        <v>128</v>
      </c>
    </row>
    <row r="11" ht="19.95" customHeight="1" spans="1:6">
      <c r="A11" s="3" t="s">
        <v>156</v>
      </c>
      <c r="B11" s="3" t="s">
        <v>273</v>
      </c>
      <c r="C11" s="8" t="s">
        <v>274</v>
      </c>
      <c r="D11" s="8" t="s">
        <v>0</v>
      </c>
      <c r="E11" s="3" t="s">
        <v>168</v>
      </c>
      <c r="F11" s="3">
        <v>128</v>
      </c>
    </row>
    <row r="12" ht="19.95" customHeight="1" spans="1:6">
      <c r="A12" s="3" t="s">
        <v>159</v>
      </c>
      <c r="B12" s="3" t="s">
        <v>275</v>
      </c>
      <c r="C12" s="8" t="s">
        <v>147</v>
      </c>
      <c r="D12" s="8" t="s">
        <v>0</v>
      </c>
      <c r="E12" s="3" t="s">
        <v>168</v>
      </c>
      <c r="F12" s="3">
        <v>128</v>
      </c>
    </row>
    <row r="13" ht="19.95" customHeight="1" spans="1:6">
      <c r="A13" s="3" t="s">
        <v>276</v>
      </c>
      <c r="B13" s="3" t="s">
        <v>277</v>
      </c>
      <c r="C13" s="8" t="s">
        <v>181</v>
      </c>
      <c r="D13" s="8" t="s">
        <v>0</v>
      </c>
      <c r="E13" s="3" t="s">
        <v>168</v>
      </c>
      <c r="F13" s="3">
        <v>128</v>
      </c>
    </row>
    <row r="14" ht="19.95" customHeight="1" spans="1:6">
      <c r="A14" s="3" t="s">
        <v>278</v>
      </c>
      <c r="B14" s="3" t="s">
        <v>279</v>
      </c>
      <c r="C14" s="8" t="s">
        <v>182</v>
      </c>
      <c r="D14" s="8" t="s">
        <v>0</v>
      </c>
      <c r="E14" s="3" t="s">
        <v>183</v>
      </c>
      <c r="F14" s="3"/>
    </row>
    <row r="15" ht="19.95" customHeight="1" spans="1:6">
      <c r="A15" s="3" t="s">
        <v>280</v>
      </c>
      <c r="B15" s="3" t="s">
        <v>281</v>
      </c>
      <c r="C15" s="8" t="s">
        <v>151</v>
      </c>
      <c r="D15" s="8" t="s">
        <v>0</v>
      </c>
      <c r="E15" s="3" t="s">
        <v>168</v>
      </c>
      <c r="F15" s="3">
        <v>128</v>
      </c>
    </row>
    <row r="16" ht="19.95" customHeight="1" spans="1:6">
      <c r="A16" s="3" t="s">
        <v>282</v>
      </c>
      <c r="B16" s="3" t="s">
        <v>283</v>
      </c>
      <c r="C16" s="8" t="s">
        <v>153</v>
      </c>
      <c r="D16" s="8" t="s">
        <v>0</v>
      </c>
      <c r="E16" s="3" t="s">
        <v>168</v>
      </c>
      <c r="F16" s="3">
        <v>128</v>
      </c>
    </row>
    <row r="17" ht="19.95" customHeight="1" spans="1:6">
      <c r="A17" s="3" t="s">
        <v>284</v>
      </c>
      <c r="B17" s="3" t="s">
        <v>285</v>
      </c>
      <c r="C17" s="8" t="s">
        <v>155</v>
      </c>
      <c r="D17" s="8" t="s">
        <v>0</v>
      </c>
      <c r="E17" s="3" t="s">
        <v>168</v>
      </c>
      <c r="F17" s="3">
        <v>128</v>
      </c>
    </row>
    <row r="18" ht="19.95" customHeight="1" spans="1:6">
      <c r="A18" s="3" t="s">
        <v>286</v>
      </c>
      <c r="B18" s="3" t="s">
        <v>287</v>
      </c>
      <c r="C18" s="8" t="s">
        <v>158</v>
      </c>
      <c r="D18" s="8" t="s">
        <v>0</v>
      </c>
      <c r="E18" s="3" t="s">
        <v>288</v>
      </c>
      <c r="F18" s="3">
        <v>32</v>
      </c>
    </row>
    <row r="19" ht="19.95" customHeight="1" spans="1:6">
      <c r="A19" s="3" t="s">
        <v>289</v>
      </c>
      <c r="B19" s="3" t="s">
        <v>290</v>
      </c>
      <c r="C19" s="8" t="s">
        <v>186</v>
      </c>
      <c r="D19" s="8" t="s">
        <v>0</v>
      </c>
      <c r="E19" s="3" t="s">
        <v>187</v>
      </c>
      <c r="F19" s="3"/>
    </row>
    <row r="20" ht="19.95" customHeight="1" spans="1:6">
      <c r="A20" s="3" t="s">
        <v>291</v>
      </c>
      <c r="B20" s="3" t="s">
        <v>292</v>
      </c>
      <c r="C20" s="8" t="s">
        <v>293</v>
      </c>
      <c r="D20" s="8" t="s">
        <v>0</v>
      </c>
      <c r="E20" s="3" t="s">
        <v>162</v>
      </c>
      <c r="F20" s="3">
        <v>400</v>
      </c>
    </row>
    <row r="21" spans="1:6">
      <c r="A21" s="3" t="s">
        <v>294</v>
      </c>
      <c r="B21" s="3" t="s">
        <v>295</v>
      </c>
      <c r="C21" s="8" t="s">
        <v>174</v>
      </c>
      <c r="D21" s="8"/>
      <c r="E21" s="3" t="s">
        <v>175</v>
      </c>
      <c r="F21" s="3">
        <v>3.93</v>
      </c>
    </row>
    <row r="22" spans="1:6">
      <c r="A22" s="3" t="s">
        <v>296</v>
      </c>
      <c r="B22" s="3" t="s">
        <v>297</v>
      </c>
      <c r="C22" s="8" t="s">
        <v>176</v>
      </c>
      <c r="D22" s="8"/>
      <c r="E22" s="3" t="s">
        <v>175</v>
      </c>
      <c r="F22" s="3">
        <v>4.83</v>
      </c>
    </row>
    <row r="23" ht="19.95" customHeight="1" spans="1:6">
      <c r="A23" s="3" t="s">
        <v>298</v>
      </c>
      <c r="B23" s="3" t="s">
        <v>299</v>
      </c>
      <c r="C23" s="8" t="s">
        <v>178</v>
      </c>
      <c r="D23" s="8" t="s">
        <v>0</v>
      </c>
      <c r="E23" s="3" t="s">
        <v>179</v>
      </c>
      <c r="F23" s="3">
        <v>1</v>
      </c>
    </row>
    <row r="24" ht="19.95" customHeight="1" spans="1:6">
      <c r="A24" s="3" t="s">
        <v>300</v>
      </c>
      <c r="B24" s="3" t="s">
        <v>301</v>
      </c>
      <c r="C24" s="8" t="s">
        <v>180</v>
      </c>
      <c r="D24" s="8" t="s">
        <v>0</v>
      </c>
      <c r="E24" s="3" t="s">
        <v>179</v>
      </c>
      <c r="F24" s="3">
        <v>3</v>
      </c>
    </row>
    <row r="25" spans="1:6">
      <c r="A25" s="3" t="s">
        <v>302</v>
      </c>
      <c r="B25" s="3" t="s">
        <v>303</v>
      </c>
      <c r="C25" s="8" t="s">
        <v>185</v>
      </c>
      <c r="D25" s="3"/>
      <c r="E25" s="3" t="s">
        <v>179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E7" sqref="E7"/>
    </sheetView>
  </sheetViews>
  <sheetFormatPr defaultColWidth="9" defaultRowHeight="14"/>
  <cols>
    <col min="1" max="1" width="7" customWidth="1"/>
    <col min="3" max="3" width="14.8818181818182" customWidth="1"/>
    <col min="4" max="4" width="6.10909090909091" customWidth="1"/>
    <col min="5" max="5" width="9.20909090909091" customWidth="1"/>
    <col min="6" max="6" width="8.55454545454545" customWidth="1"/>
    <col min="7" max="7" width="9.55454545454545" customWidth="1"/>
    <col min="8" max="9" width="7.33636363636364" customWidth="1"/>
    <col min="10" max="10" width="7.44545454545455" customWidth="1"/>
    <col min="11" max="11" width="7.66363636363636" customWidth="1"/>
    <col min="12" max="12" width="11.4454545454545" customWidth="1"/>
    <col min="13" max="13" width="10.8818181818182" customWidth="1"/>
    <col min="14" max="14" width="7.33636363636364" customWidth="1"/>
    <col min="15" max="15" width="7.66363636363636" customWidth="1"/>
    <col min="16" max="17" width="9.7818181818181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304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122</v>
      </c>
      <c r="C6" s="8" t="s">
        <v>88</v>
      </c>
      <c r="D6" s="3" t="s">
        <v>121</v>
      </c>
      <c r="E6" s="3">
        <v>0</v>
      </c>
      <c r="F6" s="3" t="e">
        <f>ROUND(L6/$E6,2)</f>
        <v>#DIV/0!</v>
      </c>
      <c r="G6" s="3" t="e">
        <f>ROUND(M6/$E6,2)</f>
        <v>#DIV/0!</v>
      </c>
      <c r="H6" s="3"/>
      <c r="I6" s="3"/>
      <c r="J6" s="3" t="e">
        <f>ROUND(P6/$E6,2)</f>
        <v>#DIV/0!</v>
      </c>
      <c r="K6" s="3" t="e">
        <f>ROUND(Q6/$E6,2)</f>
        <v>#DIV/0!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127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70" t="s">
        <v>0</v>
      </c>
      <c r="B26" s="70" t="s">
        <v>0</v>
      </c>
      <c r="C26" s="3" t="s">
        <v>128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4.4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E23" sqref="E23"/>
    </sheetView>
  </sheetViews>
  <sheetFormatPr defaultColWidth="9" defaultRowHeight="14"/>
  <cols>
    <col min="1" max="1" width="5.20909090909091" customWidth="1"/>
    <col min="2" max="2" width="16.8818181818182" customWidth="1"/>
    <col min="3" max="3" width="14.7818181818182" customWidth="1"/>
    <col min="4" max="4" width="6.10909090909091" customWidth="1"/>
    <col min="5" max="6" width="13.1090909090909" customWidth="1"/>
    <col min="7" max="10" width="11.8818181818182" customWidth="1"/>
    <col min="11" max="11" width="13.1090909090909" customWidth="1"/>
  </cols>
  <sheetData>
    <row r="1" ht="23.4" customHeight="1" spans="1:11">
      <c r="A1" s="36" t="s">
        <v>0</v>
      </c>
      <c r="B1" s="36" t="s">
        <v>0</v>
      </c>
      <c r="C1" s="85" t="s">
        <v>305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130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="22" customFormat="1" ht="22.05" customHeight="1" spans="1:11">
      <c r="A4" s="20" t="s">
        <v>133</v>
      </c>
      <c r="B4" s="20" t="s">
        <v>0</v>
      </c>
      <c r="C4" s="13" t="s">
        <v>307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'D3-4 分部分项工程量清单综合单价计算表(分页带材料)【中~'!J4</f>
        <v>工程数量0亩 </v>
      </c>
      <c r="K4" s="13" t="s">
        <v>0</v>
      </c>
    </row>
    <row r="5" s="22" customFormat="1" ht="22.05" customHeight="1" spans="1:11">
      <c r="A5" s="20" t="s">
        <v>135</v>
      </c>
      <c r="B5" s="20" t="s">
        <v>0</v>
      </c>
      <c r="C5" s="13" t="s">
        <v>308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"综合单价："&amp;M$18&amp;"元"</f>
        <v>#DIV/0!</v>
      </c>
      <c r="K5" s="13" t="s">
        <v>0</v>
      </c>
    </row>
    <row r="6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140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141</v>
      </c>
    </row>
    <row r="8" s="83" customFormat="1" ht="22.05" customHeight="1" spans="1:11">
      <c r="A8" s="39">
        <v>1</v>
      </c>
      <c r="B8" s="39" t="s">
        <v>309</v>
      </c>
      <c r="C8" s="39" t="s">
        <v>310</v>
      </c>
      <c r="D8" s="39" t="s">
        <v>121</v>
      </c>
      <c r="E8" s="39"/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311</v>
      </c>
      <c r="C9" s="39" t="s">
        <v>312</v>
      </c>
      <c r="D9" s="39" t="s">
        <v>121</v>
      </c>
      <c r="E9" s="39"/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3" customFormat="1" ht="22.05" customHeight="1" spans="1:11">
      <c r="A10" s="39">
        <v>3</v>
      </c>
      <c r="B10" s="39" t="s">
        <v>313</v>
      </c>
      <c r="C10" s="39" t="s">
        <v>158</v>
      </c>
      <c r="D10" s="39" t="s">
        <v>121</v>
      </c>
      <c r="E10" s="39"/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163</v>
      </c>
      <c r="D18" s="39"/>
      <c r="E18" s="61"/>
      <c r="F18" s="81">
        <f t="shared" ref="F18:K18" si="0">SUM(F8:F17)</f>
        <v>0</v>
      </c>
      <c r="G18" s="39"/>
      <c r="H18" s="39"/>
      <c r="I18" s="81">
        <f t="shared" si="0"/>
        <v>0</v>
      </c>
      <c r="J18" s="81">
        <f t="shared" si="0"/>
        <v>0</v>
      </c>
      <c r="K18" s="39">
        <f>SUM(F18:J18)</f>
        <v>0</v>
      </c>
      <c r="M18" s="83" t="e">
        <f>ROUND(K18/E10,2)</f>
        <v>#DIV/0!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J4" sqref="J4:K5"/>
    </sheetView>
  </sheetViews>
  <sheetFormatPr defaultColWidth="9" defaultRowHeight="14"/>
  <cols>
    <col min="1" max="1" width="6.44545454545455" customWidth="1"/>
    <col min="2" max="2" width="13.3363636363636" customWidth="1"/>
    <col min="3" max="3" width="18.1090909090909" customWidth="1"/>
    <col min="4" max="11" width="10.4454545454545" customWidth="1"/>
    <col min="12" max="12" width="12.6636363636364" customWidth="1"/>
    <col min="13" max="13" width="11.4454545454545" customWidth="1"/>
  </cols>
  <sheetData>
    <row r="1" ht="25.8" customHeight="1" spans="1:11">
      <c r="A1" s="36" t="s">
        <v>0</v>
      </c>
      <c r="B1" s="36" t="s">
        <v>0</v>
      </c>
      <c r="C1" s="37" t="s">
        <v>305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31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pans="1:11">
      <c r="A4" s="20" t="s">
        <v>133</v>
      </c>
      <c r="B4" s="20" t="s">
        <v>0</v>
      </c>
      <c r="C4" s="13" t="s">
        <v>314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"工程数量"&amp;E19&amp;"亩 "</f>
        <v>工程数量0亩 </v>
      </c>
      <c r="K4" s="13"/>
    </row>
    <row r="5" spans="1:11">
      <c r="A5" s="20" t="s">
        <v>135</v>
      </c>
      <c r="B5" s="20" t="s">
        <v>0</v>
      </c>
      <c r="C5" s="13" t="s">
        <v>315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"综合单价："&amp;$M$25&amp;"元 "</f>
        <v>#DIV/0!</v>
      </c>
      <c r="K5" s="13"/>
    </row>
    <row r="6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140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141</v>
      </c>
    </row>
    <row r="8" spans="1:11">
      <c r="A8" s="39">
        <v>1</v>
      </c>
      <c r="B8" s="77" t="s">
        <v>309</v>
      </c>
      <c r="C8" s="39" t="s">
        <v>310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316</v>
      </c>
      <c r="D9" s="39" t="s">
        <v>168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167</v>
      </c>
      <c r="D10" s="39" t="s">
        <v>168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317</v>
      </c>
      <c r="D11" s="39" t="s">
        <v>168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318</v>
      </c>
      <c r="D12" s="39" t="s">
        <v>168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319</v>
      </c>
      <c r="D13" s="39" t="s">
        <v>168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320</v>
      </c>
      <c r="D14" s="39" t="s">
        <v>168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321</v>
      </c>
      <c r="D15" s="39" t="s">
        <v>168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322</v>
      </c>
      <c r="D16" s="39" t="s">
        <v>168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169</v>
      </c>
      <c r="D17" s="39" t="s">
        <v>168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170</v>
      </c>
      <c r="D18" s="39" t="s">
        <v>168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311</v>
      </c>
      <c r="C19" s="39" t="s">
        <v>312</v>
      </c>
      <c r="D19" s="39" t="s">
        <v>121</v>
      </c>
      <c r="E19" s="39">
        <v>0</v>
      </c>
      <c r="F19" s="39">
        <f>SUM(F20:F21)</f>
        <v>0</v>
      </c>
      <c r="G19" s="39"/>
      <c r="H19" s="39"/>
      <c r="I19" s="62">
        <f t="shared" si="10"/>
        <v>0</v>
      </c>
      <c r="J19" s="62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181</v>
      </c>
      <c r="D20" s="39" t="s">
        <v>168</v>
      </c>
      <c r="E20" s="40"/>
      <c r="F20" s="78">
        <f>E20*$L$10*0.95</f>
        <v>0</v>
      </c>
      <c r="G20" s="39"/>
      <c r="H20" s="39"/>
      <c r="I20" s="62">
        <f t="shared" si="10"/>
        <v>0</v>
      </c>
      <c r="J20" s="62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182</v>
      </c>
      <c r="D21" s="39" t="s">
        <v>183</v>
      </c>
      <c r="E21" s="39"/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313</v>
      </c>
      <c r="C22" s="39" t="s">
        <v>158</v>
      </c>
      <c r="D22" s="39" t="s">
        <v>121</v>
      </c>
      <c r="E22" s="39"/>
      <c r="F22" s="81">
        <f>SUM(F23:F24)</f>
        <v>0</v>
      </c>
      <c r="G22" s="39"/>
      <c r="H22" s="39" t="s">
        <v>0</v>
      </c>
      <c r="I22" s="62">
        <f>ROUND(F22*0.02,2)</f>
        <v>0</v>
      </c>
      <c r="J22" s="62">
        <f>ROUND(F22*0.05,2)</f>
        <v>0</v>
      </c>
      <c r="K22" s="81">
        <f>SUM(F22:J22)</f>
        <v>0</v>
      </c>
    </row>
    <row r="23" spans="1:12">
      <c r="A23" s="39">
        <v>16</v>
      </c>
      <c r="B23" s="77"/>
      <c r="C23" s="39" t="s">
        <v>158</v>
      </c>
      <c r="D23" s="39" t="s">
        <v>121</v>
      </c>
      <c r="E23" s="40"/>
      <c r="F23" s="82">
        <f>E23*L23*0.95</f>
        <v>0</v>
      </c>
      <c r="G23" s="39" t="s">
        <v>0</v>
      </c>
      <c r="H23" s="39" t="s">
        <v>0</v>
      </c>
      <c r="I23" s="62">
        <f>ROUND(F23*0.02,2)</f>
        <v>0</v>
      </c>
      <c r="J23" s="62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7"/>
      <c r="C24" s="39" t="s">
        <v>186</v>
      </c>
      <c r="D24" s="39" t="s">
        <v>187</v>
      </c>
      <c r="E24" s="39"/>
      <c r="F24" s="39"/>
      <c r="G24" s="39"/>
      <c r="H24" s="39"/>
      <c r="I24" s="62"/>
      <c r="J24" s="62"/>
      <c r="K24" s="39"/>
    </row>
    <row r="25" spans="1:13">
      <c r="A25" s="39" t="s">
        <v>9</v>
      </c>
      <c r="B25" s="39" t="s">
        <v>9</v>
      </c>
      <c r="C25" s="39" t="s">
        <v>163</v>
      </c>
      <c r="D25" s="39"/>
      <c r="E25" s="39"/>
      <c r="F25" s="81">
        <f t="shared" ref="F25:J25" si="12">SUM(F8,F19,F22)</f>
        <v>0</v>
      </c>
      <c r="G25" s="39"/>
      <c r="H25" s="39" t="s">
        <v>0</v>
      </c>
      <c r="I25" s="81">
        <f t="shared" si="12"/>
        <v>0</v>
      </c>
      <c r="J25" s="81">
        <f t="shared" si="12"/>
        <v>0</v>
      </c>
      <c r="K25" s="81">
        <f>SUM(F25:J25)</f>
        <v>0</v>
      </c>
      <c r="M25" t="e">
        <f>ROUND(K25/E23,2)</f>
        <v>#DIV/0!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6" max="6" width="27.7818181818182" customWidth="1"/>
    <col min="7" max="7" width="12.7818181818182" customWidth="1"/>
    <col min="9" max="9" width="9.55454545454545" customWidth="1"/>
    <col min="14" max="14" width="11.7818181818182"/>
    <col min="15" max="15" width="10.6636363636364"/>
    <col min="16" max="17" width="11.7818181818182"/>
  </cols>
  <sheetData>
    <row r="1" ht="26.4" customHeight="1" spans="1:13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196</v>
      </c>
      <c r="M1" s="9"/>
    </row>
    <row r="2" spans="1:13">
      <c r="A2" s="20" t="s">
        <v>24</v>
      </c>
      <c r="B2" s="20" t="s">
        <v>0</v>
      </c>
      <c r="C2" s="13" t="s">
        <v>323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132</v>
      </c>
      <c r="L2" s="13" t="s">
        <v>0</v>
      </c>
      <c r="M2" s="27"/>
    </row>
    <row r="3" ht="14.4" customHeight="1" spans="1:13">
      <c r="A3" s="20" t="s">
        <v>133</v>
      </c>
      <c r="B3" s="20" t="s">
        <v>0</v>
      </c>
      <c r="C3" s="13" t="s">
        <v>307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分部分项工程量清单综合单价计算表(分页带材料)【中~'!J4</f>
        <v>工程数量0亩 </v>
      </c>
      <c r="L3" s="13" t="s">
        <v>0</v>
      </c>
      <c r="M3" s="11"/>
    </row>
    <row r="4" spans="1:13">
      <c r="A4" s="20" t="s">
        <v>135</v>
      </c>
      <c r="B4" s="20" t="s">
        <v>0</v>
      </c>
      <c r="C4" s="13" t="s">
        <v>308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199</v>
      </c>
      <c r="G5" s="3" t="s">
        <v>200</v>
      </c>
      <c r="H5" s="3" t="s">
        <v>201</v>
      </c>
      <c r="I5" s="3" t="s">
        <v>202</v>
      </c>
      <c r="J5" s="3" t="s">
        <v>203</v>
      </c>
      <c r="K5" s="3" t="s">
        <v>0</v>
      </c>
      <c r="L5" s="3" t="s">
        <v>204</v>
      </c>
      <c r="M5" s="3" t="s">
        <v>205</v>
      </c>
    </row>
    <row r="6" ht="20" customHeight="1" spans="1:13">
      <c r="A6" s="3" t="s">
        <v>53</v>
      </c>
      <c r="B6" s="3" t="s">
        <v>324</v>
      </c>
      <c r="C6" s="3" t="s">
        <v>0</v>
      </c>
      <c r="D6" s="8" t="s">
        <v>207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208</v>
      </c>
      <c r="B7" s="3" t="s">
        <v>209</v>
      </c>
      <c r="C7" s="3" t="s">
        <v>0</v>
      </c>
      <c r="D7" s="8" t="s">
        <v>210</v>
      </c>
      <c r="E7" s="8" t="s">
        <v>0</v>
      </c>
      <c r="F7" s="3" t="s">
        <v>211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212</v>
      </c>
      <c r="B8" s="3" t="s">
        <v>213</v>
      </c>
      <c r="C8" s="3" t="s">
        <v>0</v>
      </c>
      <c r="D8" s="8" t="s">
        <v>214</v>
      </c>
      <c r="E8" s="8" t="s">
        <v>0</v>
      </c>
      <c r="F8" s="3" t="s">
        <v>211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215</v>
      </c>
      <c r="B9" s="3" t="s">
        <v>216</v>
      </c>
      <c r="C9" s="3" t="s">
        <v>0</v>
      </c>
      <c r="D9" s="8" t="s">
        <v>217</v>
      </c>
      <c r="E9" s="8" t="s">
        <v>0</v>
      </c>
      <c r="F9" s="3" t="s">
        <v>211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218</v>
      </c>
      <c r="B10" s="3" t="s">
        <v>219</v>
      </c>
      <c r="C10" s="3" t="s">
        <v>0</v>
      </c>
      <c r="D10" s="8" t="s">
        <v>220</v>
      </c>
      <c r="E10" s="8" t="s">
        <v>0</v>
      </c>
      <c r="F10" s="3" t="s">
        <v>211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325</v>
      </c>
      <c r="C11" s="3" t="s">
        <v>0</v>
      </c>
      <c r="D11" s="8" t="s">
        <v>222</v>
      </c>
      <c r="E11" s="8" t="s">
        <v>0</v>
      </c>
      <c r="F11" s="3" t="s">
        <v>211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326</v>
      </c>
      <c r="C12" s="3" t="s">
        <v>0</v>
      </c>
      <c r="D12" s="8" t="s">
        <v>224</v>
      </c>
      <c r="E12" s="8" t="s">
        <v>0</v>
      </c>
      <c r="F12" s="3" t="s">
        <v>211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327</v>
      </c>
      <c r="C13" s="3" t="s">
        <v>0</v>
      </c>
      <c r="D13" s="8" t="s">
        <v>226</v>
      </c>
      <c r="E13" s="8" t="s">
        <v>0</v>
      </c>
      <c r="F13" s="3" t="s">
        <v>211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328</v>
      </c>
      <c r="C14" s="3" t="s">
        <v>0</v>
      </c>
      <c r="D14" s="8" t="s">
        <v>228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329</v>
      </c>
      <c r="C15" s="3" t="s">
        <v>0</v>
      </c>
      <c r="D15" s="8" t="s">
        <v>230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330</v>
      </c>
      <c r="C16" s="3" t="s">
        <v>0</v>
      </c>
      <c r="D16" s="8" t="s">
        <v>232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156</v>
      </c>
      <c r="B17" s="3" t="s">
        <v>331</v>
      </c>
      <c r="C17" s="3" t="s">
        <v>0</v>
      </c>
      <c r="D17" s="8" t="s">
        <v>234</v>
      </c>
      <c r="E17" s="8" t="s">
        <v>0</v>
      </c>
      <c r="F17" s="3" t="s">
        <v>211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141</v>
      </c>
      <c r="B18" s="25"/>
      <c r="C18" s="25"/>
      <c r="D18" s="25"/>
      <c r="E18" s="25"/>
      <c r="F18" s="26"/>
      <c r="G18" s="25"/>
      <c r="H18" s="25"/>
      <c r="I18" s="76">
        <f>SUM(I7:I17)</f>
        <v>0</v>
      </c>
      <c r="J18" s="32"/>
      <c r="K18" s="33"/>
      <c r="L18" s="26"/>
      <c r="M18" s="26"/>
    </row>
    <row r="19" ht="45" customHeight="1" spans="1:13">
      <c r="A19" s="13" t="s">
        <v>235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ht="14.4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ht="14.4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" outlineLevelCol="5"/>
  <cols>
    <col min="2" max="2" width="37.3363636363636" customWidth="1"/>
    <col min="3" max="3" width="9.55454545454545" customWidth="1"/>
    <col min="4" max="4" width="16.6636363636364" customWidth="1"/>
    <col min="6" max="6" width="17.6636363636364" customWidth="1"/>
  </cols>
  <sheetData>
    <row r="1" ht="30.6" customHeight="1" spans="1:6">
      <c r="A1" s="1" t="s">
        <v>236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323</v>
      </c>
      <c r="C3" s="13"/>
      <c r="D3" s="13"/>
      <c r="E3" s="13"/>
      <c r="F3" s="12" t="str">
        <f>'E.1分部分项工程总价措施项目清单计价表-FY型'!K3</f>
        <v>工程数量0亩 </v>
      </c>
    </row>
    <row r="4" ht="26" spans="1:6">
      <c r="A4" s="3" t="s">
        <v>32</v>
      </c>
      <c r="B4" s="3" t="s">
        <v>237</v>
      </c>
      <c r="C4" s="3" t="s">
        <v>50</v>
      </c>
      <c r="D4" s="3" t="s">
        <v>238</v>
      </c>
      <c r="E4" s="3" t="s">
        <v>205</v>
      </c>
      <c r="F4" s="3" t="s">
        <v>0</v>
      </c>
    </row>
    <row r="5" spans="1:6">
      <c r="A5" s="3" t="s">
        <v>53</v>
      </c>
      <c r="B5" s="8" t="s">
        <v>239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240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241</v>
      </c>
      <c r="C7" s="3" t="s">
        <v>43</v>
      </c>
      <c r="D7" s="18" t="s">
        <v>0</v>
      </c>
      <c r="E7" s="3"/>
      <c r="F7" s="3"/>
    </row>
    <row r="8" spans="1:6">
      <c r="A8" s="3" t="s">
        <v>242</v>
      </c>
      <c r="B8" s="8" t="s">
        <v>243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244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245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" customWidth="1"/>
    <col min="2" max="2" width="19.3363636363636" customWidth="1"/>
    <col min="3" max="5" width="19.6636363636364" customWidth="1"/>
  </cols>
  <sheetData>
    <row r="1" ht="33.6" customHeight="1" spans="1:5">
      <c r="A1" s="10" t="s">
        <v>246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323</v>
      </c>
      <c r="C3" s="13"/>
      <c r="D3" s="13"/>
      <c r="E3" s="12" t="s">
        <v>132</v>
      </c>
    </row>
    <row r="4" spans="1:5">
      <c r="A4" s="12" t="s">
        <v>133</v>
      </c>
      <c r="B4" s="13" t="s">
        <v>307</v>
      </c>
      <c r="C4" s="13"/>
      <c r="D4" s="13"/>
      <c r="E4" s="13" t="str">
        <f>'F.1其他项目清单与计价汇总表(FY型）'!F3</f>
        <v>工程数量0亩 </v>
      </c>
    </row>
    <row r="5" spans="1:5">
      <c r="A5" s="12" t="s">
        <v>135</v>
      </c>
      <c r="B5" s="14" t="s">
        <v>332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248</v>
      </c>
      <c r="D6" s="3" t="s">
        <v>249</v>
      </c>
      <c r="E6" s="3" t="s">
        <v>205</v>
      </c>
    </row>
    <row r="7" spans="1:5">
      <c r="A7" s="3" t="s">
        <v>53</v>
      </c>
      <c r="B7" s="8" t="s">
        <v>239</v>
      </c>
      <c r="C7" s="3" t="s">
        <v>250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128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251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3" max="3" width="42.2181818181818" customWidth="1"/>
    <col min="4" max="4" width="14.4454545454545" customWidth="1"/>
    <col min="5" max="5" width="12.7818181818182" customWidth="1"/>
    <col min="6" max="6" width="17.3363636363636" customWidth="1"/>
  </cols>
  <sheetData>
    <row r="1" ht="21" spans="1:6">
      <c r="A1" s="10" t="s">
        <v>252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323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333</v>
      </c>
      <c r="C3" s="13"/>
      <c r="D3" s="13"/>
      <c r="E3" s="13" t="str">
        <f>'F1.1暂列金额明细表（FY型）'!E4</f>
        <v>工程数量0亩 </v>
      </c>
      <c r="F3" s="13" t="s">
        <v>0</v>
      </c>
    </row>
    <row r="4" spans="1:6">
      <c r="A4" s="12" t="s">
        <v>135</v>
      </c>
      <c r="B4" s="14" t="s">
        <v>332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199</v>
      </c>
      <c r="D5" s="3" t="s">
        <v>200</v>
      </c>
      <c r="E5" s="3" t="s">
        <v>255</v>
      </c>
      <c r="F5" s="3" t="s">
        <v>256</v>
      </c>
    </row>
    <row r="6" ht="41.4" customHeight="1" spans="1:6">
      <c r="A6" s="3" t="s">
        <v>53</v>
      </c>
      <c r="B6" s="8" t="s">
        <v>39</v>
      </c>
      <c r="C6" s="3" t="s">
        <v>257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60</v>
      </c>
      <c r="B7" s="8" t="s">
        <v>82</v>
      </c>
      <c r="C7" s="3" t="s">
        <v>258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9</v>
      </c>
      <c r="F7" s="3">
        <f>ROUND(D7*E7/100,2)</f>
        <v>0</v>
      </c>
    </row>
    <row r="8" ht="41.4" customHeight="1" spans="1:6">
      <c r="A8" s="3">
        <v>3</v>
      </c>
      <c r="B8" s="8" t="s">
        <v>83</v>
      </c>
      <c r="C8" s="3" t="s">
        <v>258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163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ht="14.4" customHeight="1"/>
    <row r="27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F14" sqref="F14"/>
    </sheetView>
  </sheetViews>
  <sheetFormatPr defaultColWidth="9" defaultRowHeight="14" outlineLevelCol="5"/>
  <cols>
    <col min="1" max="1" width="10.6636363636364" customWidth="1"/>
    <col min="2" max="2" width="12.3363636363636" customWidth="1"/>
    <col min="3" max="3" width="21.2181818181818" customWidth="1"/>
    <col min="4" max="5" width="16.6636363636364" customWidth="1"/>
    <col min="6" max="6" width="18.3363636363636" customWidth="1"/>
  </cols>
  <sheetData>
    <row r="1" ht="29.4" customHeight="1" spans="1:6">
      <c r="A1" s="1" t="s">
        <v>259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260</v>
      </c>
      <c r="C3" s="3" t="s">
        <v>261</v>
      </c>
      <c r="D3" s="3" t="s">
        <v>262</v>
      </c>
      <c r="E3" s="3" t="s">
        <v>110</v>
      </c>
      <c r="F3" s="3" t="s">
        <v>263</v>
      </c>
    </row>
    <row r="4" ht="19.95" customHeight="1" spans="1:6">
      <c r="A4" s="3" t="s">
        <v>53</v>
      </c>
      <c r="B4" s="3" t="s">
        <v>334</v>
      </c>
      <c r="C4" s="8" t="s">
        <v>316</v>
      </c>
      <c r="D4" s="3"/>
      <c r="E4" s="3" t="s">
        <v>168</v>
      </c>
      <c r="F4" s="3">
        <v>232</v>
      </c>
    </row>
    <row r="5" ht="19.95" customHeight="1" spans="1:6">
      <c r="A5" s="3" t="s">
        <v>60</v>
      </c>
      <c r="B5" s="3" t="s">
        <v>264</v>
      </c>
      <c r="C5" s="8" t="s">
        <v>265</v>
      </c>
      <c r="D5" s="3"/>
      <c r="E5" s="3" t="s">
        <v>168</v>
      </c>
      <c r="F5" s="3">
        <v>232</v>
      </c>
    </row>
    <row r="6" ht="19.95" customHeight="1" spans="1:6">
      <c r="A6" s="3" t="s">
        <v>64</v>
      </c>
      <c r="B6" s="3" t="s">
        <v>335</v>
      </c>
      <c r="C6" s="8" t="s">
        <v>317</v>
      </c>
      <c r="D6" s="8" t="s">
        <v>0</v>
      </c>
      <c r="E6" s="3" t="s">
        <v>168</v>
      </c>
      <c r="F6" s="3">
        <v>232</v>
      </c>
    </row>
    <row r="7" ht="19.95" customHeight="1" spans="1:6">
      <c r="A7" s="3" t="s">
        <v>74</v>
      </c>
      <c r="B7" s="3" t="s">
        <v>336</v>
      </c>
      <c r="C7" s="8" t="s">
        <v>318</v>
      </c>
      <c r="D7" s="8" t="s">
        <v>0</v>
      </c>
      <c r="E7" s="3" t="s">
        <v>168</v>
      </c>
      <c r="F7" s="3">
        <v>128</v>
      </c>
    </row>
    <row r="8" ht="19.95" customHeight="1" spans="1:6">
      <c r="A8" s="3" t="s">
        <v>75</v>
      </c>
      <c r="B8" s="3" t="s">
        <v>337</v>
      </c>
      <c r="C8" s="8" t="s">
        <v>319</v>
      </c>
      <c r="D8" s="8" t="s">
        <v>0</v>
      </c>
      <c r="E8" s="3" t="s">
        <v>168</v>
      </c>
      <c r="F8" s="3">
        <v>128</v>
      </c>
    </row>
    <row r="9" ht="19.95" customHeight="1" spans="1:6">
      <c r="A9" s="3" t="s">
        <v>77</v>
      </c>
      <c r="B9" s="3" t="s">
        <v>338</v>
      </c>
      <c r="C9" s="8" t="s">
        <v>320</v>
      </c>
      <c r="D9" s="8" t="s">
        <v>0</v>
      </c>
      <c r="E9" s="3" t="s">
        <v>168</v>
      </c>
      <c r="F9" s="3">
        <v>128</v>
      </c>
    </row>
    <row r="10" spans="1:6">
      <c r="A10" s="3" t="s">
        <v>81</v>
      </c>
      <c r="B10" s="3" t="s">
        <v>339</v>
      </c>
      <c r="C10" s="8" t="s">
        <v>321</v>
      </c>
      <c r="D10" s="8" t="s">
        <v>0</v>
      </c>
      <c r="E10" s="3" t="s">
        <v>168</v>
      </c>
      <c r="F10" s="3">
        <v>128</v>
      </c>
    </row>
    <row r="11" ht="19.95" customHeight="1" spans="1:6">
      <c r="A11" s="3" t="s">
        <v>156</v>
      </c>
      <c r="B11" s="3" t="s">
        <v>340</v>
      </c>
      <c r="C11" s="75" t="s">
        <v>322</v>
      </c>
      <c r="D11" s="8"/>
      <c r="E11" s="3" t="s">
        <v>168</v>
      </c>
      <c r="F11" s="3">
        <v>128</v>
      </c>
    </row>
    <row r="12" ht="19.95" customHeight="1" spans="1:6">
      <c r="A12" s="3" t="s">
        <v>159</v>
      </c>
      <c r="B12" s="3" t="s">
        <v>266</v>
      </c>
      <c r="C12" s="8" t="s">
        <v>169</v>
      </c>
      <c r="D12" s="8" t="s">
        <v>0</v>
      </c>
      <c r="E12" s="3" t="s">
        <v>168</v>
      </c>
      <c r="F12" s="3">
        <v>128</v>
      </c>
    </row>
    <row r="13" ht="19.95" customHeight="1" spans="1:6">
      <c r="A13" s="3" t="s">
        <v>276</v>
      </c>
      <c r="B13" s="3" t="s">
        <v>267</v>
      </c>
      <c r="C13" s="8" t="s">
        <v>170</v>
      </c>
      <c r="D13" s="8" t="s">
        <v>0</v>
      </c>
      <c r="E13" s="3" t="s">
        <v>168</v>
      </c>
      <c r="F13" s="3">
        <v>128</v>
      </c>
    </row>
    <row r="14" ht="19.95" customHeight="1" spans="1:6">
      <c r="A14" s="3" t="s">
        <v>278</v>
      </c>
      <c r="B14" s="3" t="s">
        <v>277</v>
      </c>
      <c r="C14" s="8" t="s">
        <v>181</v>
      </c>
      <c r="D14" s="8" t="s">
        <v>0</v>
      </c>
      <c r="E14" s="3" t="s">
        <v>168</v>
      </c>
      <c r="F14" s="3">
        <v>128</v>
      </c>
    </row>
    <row r="15" ht="19.95" customHeight="1" spans="1:6">
      <c r="A15" s="3" t="s">
        <v>280</v>
      </c>
      <c r="B15" s="3" t="s">
        <v>279</v>
      </c>
      <c r="C15" s="8" t="s">
        <v>182</v>
      </c>
      <c r="D15" s="8" t="s">
        <v>0</v>
      </c>
      <c r="E15" s="3" t="s">
        <v>183</v>
      </c>
      <c r="F15" s="3"/>
    </row>
    <row r="16" ht="19.95" customHeight="1" spans="1:6">
      <c r="A16" s="3" t="s">
        <v>282</v>
      </c>
      <c r="B16" s="3" t="s">
        <v>287</v>
      </c>
      <c r="C16" s="8" t="s">
        <v>158</v>
      </c>
      <c r="D16" s="8" t="s">
        <v>0</v>
      </c>
      <c r="E16" s="3" t="s">
        <v>288</v>
      </c>
      <c r="F16" s="3">
        <v>32</v>
      </c>
    </row>
    <row r="17" ht="19.95" customHeight="1" spans="1:6">
      <c r="A17" s="3" t="s">
        <v>284</v>
      </c>
      <c r="B17" s="3" t="s">
        <v>290</v>
      </c>
      <c r="C17" s="8" t="s">
        <v>186</v>
      </c>
      <c r="D17" s="8" t="s">
        <v>0</v>
      </c>
      <c r="E17" s="3" t="s">
        <v>187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E7" sqref="E7"/>
    </sheetView>
  </sheetViews>
  <sheetFormatPr defaultColWidth="9" defaultRowHeight="14"/>
  <cols>
    <col min="1" max="1" width="4.55454545454545" customWidth="1"/>
    <col min="2" max="2" width="9.88181818181818" customWidth="1"/>
    <col min="3" max="3" width="15.5545454545455" customWidth="1"/>
    <col min="4" max="4" width="5.33636363636364" customWidth="1"/>
    <col min="5" max="5" width="8.55454545454545" customWidth="1"/>
    <col min="6" max="8" width="9.78181818181818" customWidth="1"/>
    <col min="9" max="9" width="6.66363636363636" customWidth="1"/>
    <col min="10" max="10" width="8.10909090909091" customWidth="1"/>
    <col min="11" max="11" width="8.44545454545455" customWidth="1"/>
    <col min="12" max="13" width="12.8909090909091" customWidth="1"/>
    <col min="14" max="14" width="9.66363636363636" customWidth="1"/>
    <col min="15" max="15" width="11.7818181818182" customWidth="1"/>
    <col min="16" max="16" width="10.6636363636364" customWidth="1"/>
    <col min="17" max="17" width="11.7818181818182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123</v>
      </c>
      <c r="C6" s="3" t="s">
        <v>91</v>
      </c>
      <c r="D6" s="3" t="s">
        <v>121</v>
      </c>
      <c r="E6" s="3">
        <f>'D3-3 分部分项工程量清单综合单价计算表(分页不带材料)~3'!E8</f>
        <v>0</v>
      </c>
      <c r="F6" s="3" t="e">
        <f>ROUND(L6/$E6,2)</f>
        <v>#DIV/0!</v>
      </c>
      <c r="G6" s="3" t="e">
        <f>ROUND(M6/$E6,2)</f>
        <v>#DIV/0!</v>
      </c>
      <c r="H6" s="3" t="e">
        <f t="shared" ref="H6:K6" si="0">ROUND(N6/$E6,2)</f>
        <v>#DIV/0!</v>
      </c>
      <c r="I6" s="3" t="e">
        <f t="shared" si="0"/>
        <v>#DIV/0!</v>
      </c>
      <c r="J6" s="3" t="e">
        <f t="shared" si="0"/>
        <v>#DIV/0!</v>
      </c>
      <c r="K6" s="3" t="e">
        <f t="shared" si="0"/>
        <v>#DIV/0!</v>
      </c>
      <c r="L6" s="3">
        <f>'D3-3 分部分项工程量清单综合单价计算表(分页不带材料)~3'!K17</f>
        <v>0</v>
      </c>
      <c r="M6" s="72">
        <f>'D3-3 分部分项工程量清单综合单价计算表(分页不带材料)~3'!F17</f>
        <v>0</v>
      </c>
      <c r="N6" s="72">
        <f>'D3-3 分部分项工程量清单综合单价计算表(分页不带材料)~3'!G17</f>
        <v>0</v>
      </c>
      <c r="O6" s="72">
        <f>'D3-3 分部分项工程量清单综合单价计算表(分页不带材料)~3'!H17</f>
        <v>0</v>
      </c>
      <c r="P6" s="72">
        <f>'D3-3 分部分项工程量清单综合单价计算表(分页不带材料)~3'!I17</f>
        <v>0</v>
      </c>
      <c r="Q6" s="72">
        <f>'D3-3 分部分项工程量清单综合单价计算表(分页不带材料)~3'!J17</f>
        <v>0</v>
      </c>
    </row>
    <row r="7" ht="22.95" customHeight="1" spans="1:17">
      <c r="A7" s="3" t="s">
        <v>60</v>
      </c>
      <c r="B7" s="3" t="s">
        <v>124</v>
      </c>
      <c r="C7" s="3" t="s">
        <v>92</v>
      </c>
      <c r="D7" s="3" t="s">
        <v>121</v>
      </c>
      <c r="E7" s="3">
        <f>'D3-3 分部分项工程量清单综合单价计算表(分页不带材料)~3'!E27</f>
        <v>0</v>
      </c>
      <c r="F7" s="3" t="e">
        <f t="shared" ref="F7:F10" si="1">ROUND(L7/E7,2)</f>
        <v>#DIV/0!</v>
      </c>
      <c r="G7" s="3" t="e">
        <f t="shared" ref="G7:G10" si="2">ROUND(M7/$E7,2)</f>
        <v>#DIV/0!</v>
      </c>
      <c r="H7" s="3" t="e">
        <f t="shared" ref="H7:H10" si="3">ROUND(N7/$E7,2)</f>
        <v>#DIV/0!</v>
      </c>
      <c r="I7" s="3" t="e">
        <f>ROUND(O7/$E7,2)</f>
        <v>#DIV/0!</v>
      </c>
      <c r="J7" s="3" t="e">
        <f t="shared" ref="J7:J10" si="4">ROUND(P7/$E7,2)</f>
        <v>#DIV/0!</v>
      </c>
      <c r="K7" s="3" t="e">
        <f t="shared" ref="K7:K10" si="5">ROUND(Q7/$E7,2)</f>
        <v>#DIV/0!</v>
      </c>
      <c r="L7" s="3">
        <f>'D3-3 分部分项工程量清单综合单价计算表(分页不带材料)~3'!K36</f>
        <v>0</v>
      </c>
      <c r="M7" s="72">
        <f>'D3-3 分部分项工程量清单综合单价计算表(分页不带材料)~3'!F36</f>
        <v>0</v>
      </c>
      <c r="N7" s="72">
        <f>'D3-3 分部分项工程量清单综合单价计算表(分页不带材料)~3'!G36</f>
        <v>0</v>
      </c>
      <c r="O7" s="72">
        <f>'D3-3 分部分项工程量清单综合单价计算表(分页不带材料)~3'!H36</f>
        <v>0</v>
      </c>
      <c r="P7" s="72">
        <f>'D3-3 分部分项工程量清单综合单价计算表(分页不带材料)~3'!I36</f>
        <v>0</v>
      </c>
      <c r="Q7" s="72">
        <f>'D3-3 分部分项工程量清单综合单价计算表(分页不带材料)~3'!J36</f>
        <v>0</v>
      </c>
    </row>
    <row r="8" ht="22.95" customHeight="1" spans="1:17">
      <c r="A8" s="3" t="s">
        <v>64</v>
      </c>
      <c r="B8" s="3" t="s">
        <v>125</v>
      </c>
      <c r="C8" s="3" t="s">
        <v>94</v>
      </c>
      <c r="D8" s="3" t="s">
        <v>121</v>
      </c>
      <c r="E8" s="3">
        <f>'D3-3 分部分项工程量清单综合单价计算表(分页不带材料)~3'!E47</f>
        <v>4260.5</v>
      </c>
      <c r="F8" s="3">
        <f t="shared" si="1"/>
        <v>1469.9</v>
      </c>
      <c r="G8" s="3">
        <f t="shared" si="2"/>
        <v>772.47</v>
      </c>
      <c r="H8" s="3">
        <f t="shared" si="3"/>
        <v>518.16</v>
      </c>
      <c r="I8" s="3">
        <f>ROUND(O8/$E8,2)</f>
        <v>125.2</v>
      </c>
      <c r="J8" s="3">
        <f t="shared" si="4"/>
        <v>15.45</v>
      </c>
      <c r="K8" s="3">
        <f t="shared" si="5"/>
        <v>38.62</v>
      </c>
      <c r="L8" s="3">
        <f>'D3-3 分部分项工程量清单综合单价计算表(分页不带材料)~3'!K55</f>
        <v>6262495.78404</v>
      </c>
      <c r="M8" s="72">
        <f>'D3-3 分部分项工程量清单综合单价计算表(分页不带材料)~3'!F55</f>
        <v>3291096.628</v>
      </c>
      <c r="N8" s="72">
        <f>'D3-3 分部分项工程量清单综合单价计算表(分页不带材料)~3'!G55</f>
        <v>2207618.45804</v>
      </c>
      <c r="O8" s="72">
        <f>'D3-3 分部分项工程量清单综合单价计算表(分页不带材料)~3'!H55</f>
        <v>533403.948</v>
      </c>
      <c r="P8" s="72">
        <f>'D3-3 分部分项工程量清单综合单价计算表(分页不带材料)~3'!I55</f>
        <v>65821.93</v>
      </c>
      <c r="Q8" s="72">
        <f>'D3-3 分部分项工程量清单综合单价计算表(分页不带材料)~3'!J55</f>
        <v>164554.82</v>
      </c>
    </row>
    <row r="9" ht="22.95" customHeight="1" spans="1:17">
      <c r="A9" s="3" t="s">
        <v>74</v>
      </c>
      <c r="B9" s="3" t="s">
        <v>126</v>
      </c>
      <c r="C9" s="3" t="s">
        <v>96</v>
      </c>
      <c r="D9" s="3" t="s">
        <v>121</v>
      </c>
      <c r="E9" s="3">
        <f>'D3-3 分部分项工程量清单综合单价计算表(分页不带材料)~3'!E65</f>
        <v>0</v>
      </c>
      <c r="F9" s="3" t="e">
        <f t="shared" si="1"/>
        <v>#DIV/0!</v>
      </c>
      <c r="G9" s="3" t="e">
        <f t="shared" si="2"/>
        <v>#DIV/0!</v>
      </c>
      <c r="H9" s="3" t="e">
        <f t="shared" si="3"/>
        <v>#DIV/0!</v>
      </c>
      <c r="I9" s="3" t="e">
        <f>ROUND(O9/$E9,2)</f>
        <v>#DIV/0!</v>
      </c>
      <c r="J9" s="3" t="e">
        <f t="shared" si="4"/>
        <v>#DIV/0!</v>
      </c>
      <c r="K9" s="3" t="e">
        <f t="shared" si="5"/>
        <v>#DIV/0!</v>
      </c>
      <c r="L9" s="3">
        <f>'D3-3 分部分项工程量清单综合单价计算表(分页不带材料)~3'!K74</f>
        <v>0</v>
      </c>
      <c r="M9" s="72">
        <f>'D3-3 分部分项工程量清单综合单价计算表(分页不带材料)~3'!F74</f>
        <v>0</v>
      </c>
      <c r="N9" s="72">
        <f>'D3-3 分部分项工程量清单综合单价计算表(分页不带材料)~3'!G74</f>
        <v>0</v>
      </c>
      <c r="O9" s="72">
        <f>'D3-3 分部分项工程量清单综合单价计算表(分页不带材料)~3'!H74</f>
        <v>0</v>
      </c>
      <c r="P9" s="72">
        <f>'D3-3 分部分项工程量清单综合单价计算表(分页不带材料)~3'!I74</f>
        <v>0</v>
      </c>
      <c r="Q9" s="72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127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6262495.78404</v>
      </c>
      <c r="M21" s="3">
        <f t="shared" si="6"/>
        <v>3291096.628</v>
      </c>
      <c r="N21" s="3">
        <f t="shared" si="6"/>
        <v>2207618.45804</v>
      </c>
      <c r="O21" s="3">
        <f t="shared" si="6"/>
        <v>533403.948</v>
      </c>
      <c r="P21" s="3">
        <f t="shared" si="6"/>
        <v>65821.93</v>
      </c>
      <c r="Q21" s="3">
        <f t="shared" si="6"/>
        <v>164554.82</v>
      </c>
    </row>
    <row r="22" ht="22.95" customHeight="1" spans="1:17">
      <c r="A22" s="70" t="s">
        <v>0</v>
      </c>
      <c r="B22" s="71" t="s">
        <v>0</v>
      </c>
      <c r="C22" s="3" t="s">
        <v>128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6262495.78404</v>
      </c>
      <c r="M22" s="3">
        <f t="shared" ref="M22:O22" si="7">M21</f>
        <v>3291096.628</v>
      </c>
      <c r="N22" s="3">
        <f t="shared" si="7"/>
        <v>2207618.45804</v>
      </c>
      <c r="O22" s="3">
        <f t="shared" si="7"/>
        <v>533403.948</v>
      </c>
      <c r="P22" s="3">
        <f t="shared" ref="P22:Q22" si="8">P21</f>
        <v>65821.93</v>
      </c>
      <c r="Q22" s="3">
        <f t="shared" si="8"/>
        <v>164554.82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E11" sqref="E11"/>
    </sheetView>
  </sheetViews>
  <sheetFormatPr defaultColWidth="9" defaultRowHeight="14" outlineLevelCol="7"/>
  <cols>
    <col min="1" max="1" width="10.5545454545455" customWidth="1"/>
    <col min="2" max="3" width="13.2090909090909" customWidth="1"/>
    <col min="4" max="4" width="12.7818181818182" customWidth="1"/>
    <col min="5" max="5" width="14" customWidth="1"/>
    <col min="6" max="6" width="17.4454545454545" customWidth="1"/>
    <col min="7" max="7" width="15.1090909090909" customWidth="1"/>
    <col min="8" max="8" width="17.3363636363636" customWidth="1"/>
  </cols>
  <sheetData>
    <row r="1" ht="40.2" customHeight="1" spans="1:8">
      <c r="A1" s="118" t="s">
        <v>30</v>
      </c>
      <c r="B1" s="118"/>
      <c r="C1" s="118"/>
      <c r="D1" s="118"/>
      <c r="E1" s="118"/>
      <c r="F1" s="118"/>
      <c r="G1" s="118"/>
      <c r="H1" s="118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ht="14.4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19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70.9</v>
      </c>
      <c r="E5" s="3">
        <f>'C1-1单项工程预算汇总表-ZL型'!D13</f>
        <v>429086.768</v>
      </c>
      <c r="F5" s="3">
        <f>'C1-1单项工程预算汇总表-ZL型'!E13</f>
        <v>5166.9265</v>
      </c>
      <c r="G5" s="3">
        <f>'C1-1单项工程预算汇总表-ZL型'!F13</f>
        <v>9652.97</v>
      </c>
      <c r="H5" s="3">
        <f>ROUND(E5/D5,2)</f>
        <v>6052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4260.5</v>
      </c>
      <c r="E7" s="120">
        <f>'C1-1单项工程预算汇总表-GP型'!D13</f>
        <v>7091388.11604</v>
      </c>
      <c r="F7" s="120">
        <f>'C1-1单项工程预算汇总表-GP型'!E13</f>
        <v>85392.232</v>
      </c>
      <c r="G7" s="120">
        <f>'C1-1单项工程预算汇总表-GP型'!F13</f>
        <v>157972.64</v>
      </c>
      <c r="H7" s="3">
        <f>ROUND(E7/D7,2)</f>
        <v>1664.45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7520474.88404</v>
      </c>
      <c r="F15" s="3">
        <f t="shared" ref="F15:G15" si="0">SUM(F5:F7)</f>
        <v>90559.1585</v>
      </c>
      <c r="G15" s="3">
        <f t="shared" si="0"/>
        <v>167625.61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41" workbookViewId="0">
      <selection activeCell="J62" sqref="J62:K62"/>
    </sheetView>
  </sheetViews>
  <sheetFormatPr defaultColWidth="9" defaultRowHeight="14"/>
  <cols>
    <col min="1" max="1" width="7.89090909090909" customWidth="1"/>
    <col min="2" max="2" width="12.6636363636364" customWidth="1"/>
    <col min="3" max="3" width="13.8909090909091" customWidth="1"/>
    <col min="5" max="11" width="12.5545454545455" customWidth="1"/>
  </cols>
  <sheetData>
    <row r="1" ht="24" customHeight="1" spans="1:11">
      <c r="A1" s="36" t="s">
        <v>0</v>
      </c>
      <c r="B1" s="36" t="s">
        <v>0</v>
      </c>
      <c r="C1" s="37" t="s">
        <v>305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342</v>
      </c>
      <c r="K1" s="20" t="s">
        <v>0</v>
      </c>
    </row>
    <row r="2" ht="19.95" customHeight="1" spans="1:11">
      <c r="A2" s="36" t="s">
        <v>130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ht="19.95" customHeight="1" spans="1:11">
      <c r="A4" s="20" t="s">
        <v>133</v>
      </c>
      <c r="B4" s="20" t="s">
        <v>0</v>
      </c>
      <c r="C4" s="13" t="s">
        <v>344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'D3-4 分部分项工程量清单综合单价计算表(分页带材料)【现~'!J4</f>
        <v>工程数量0亩 </v>
      </c>
      <c r="K4" s="13" t="s">
        <v>0</v>
      </c>
    </row>
    <row r="5" ht="19.95" customHeight="1" spans="1:11">
      <c r="A5" s="20" t="s">
        <v>135</v>
      </c>
      <c r="B5" s="20" t="s">
        <v>0</v>
      </c>
      <c r="C5" s="13" t="s">
        <v>345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"综合单价："&amp;$M$17&amp;"元"</f>
        <v>#DIV/0!</v>
      </c>
      <c r="K5" s="13" t="s">
        <v>0</v>
      </c>
    </row>
    <row r="6" ht="19.95" customHeight="1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140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141</v>
      </c>
    </row>
    <row r="8" ht="19.95" customHeight="1" spans="1:11">
      <c r="A8" s="39" t="s">
        <v>53</v>
      </c>
      <c r="B8" s="39" t="s">
        <v>346</v>
      </c>
      <c r="C8" s="39" t="s">
        <v>347</v>
      </c>
      <c r="D8" s="39" t="s">
        <v>121</v>
      </c>
      <c r="E8" s="39"/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348</v>
      </c>
      <c r="C9" s="39" t="s">
        <v>145</v>
      </c>
      <c r="D9" s="39" t="s">
        <v>121</v>
      </c>
      <c r="E9" s="39"/>
      <c r="F9" s="39">
        <f>'D3-4 分部分项工程量清单综合单价计算表(分页带材料)【现~'!F19</f>
        <v>0</v>
      </c>
      <c r="G9" s="39">
        <f>'D3-4 分部分项工程量清单综合单价计算表(分页带材料)【现~'!G19</f>
        <v>0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0</v>
      </c>
      <c r="J9" s="39">
        <f>'D3-4 分部分项工程量清单综合单价计算表(分页带材料)【现~'!J19</f>
        <v>0</v>
      </c>
      <c r="K9" s="39">
        <f>'D3-4 分部分项工程量清单综合单价计算表(分页带材料)【现~'!K19</f>
        <v>0</v>
      </c>
    </row>
    <row r="10" ht="19.95" customHeight="1" spans="1:11">
      <c r="A10" s="39" t="s">
        <v>64</v>
      </c>
      <c r="B10" s="39" t="s">
        <v>349</v>
      </c>
      <c r="C10" s="39" t="s">
        <v>147</v>
      </c>
      <c r="D10" s="39" t="s">
        <v>121</v>
      </c>
      <c r="E10" s="39"/>
      <c r="F10" s="39">
        <f>'D3-4 分部分项工程量清单综合单价计算表(分页带材料)【现~'!F26</f>
        <v>0</v>
      </c>
      <c r="G10" s="39">
        <f>'D3-4 分部分项工程量清单综合单价计算表(分页带材料)【现~'!G26</f>
        <v>0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0</v>
      </c>
      <c r="J10" s="39">
        <f>'D3-4 分部分项工程量清单综合单价计算表(分页带材料)【现~'!J26</f>
        <v>0</v>
      </c>
      <c r="K10" s="39">
        <f>'D3-4 分部分项工程量清单综合单价计算表(分页带材料)【现~'!K26</f>
        <v>0</v>
      </c>
    </row>
    <row r="11" ht="19.95" customHeight="1" spans="1:11">
      <c r="A11" s="39" t="s">
        <v>74</v>
      </c>
      <c r="B11" s="39" t="s">
        <v>350</v>
      </c>
      <c r="C11" s="39" t="s">
        <v>149</v>
      </c>
      <c r="D11" s="39" t="s">
        <v>121</v>
      </c>
      <c r="E11" s="39"/>
      <c r="F11" s="39">
        <f>'D3-4 分部分项工程量清单综合单价计算表(分页带材料)【现~'!F30</f>
        <v>0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0</v>
      </c>
      <c r="J11" s="39">
        <f>'D3-4 分部分项工程量清单综合单价计算表(分页带材料)【现~'!J30</f>
        <v>0</v>
      </c>
      <c r="K11" s="39">
        <f>'D3-4 分部分项工程量清单综合单价计算表(分页带材料)【现~'!K30</f>
        <v>0</v>
      </c>
    </row>
    <row r="12" ht="19.95" customHeight="1" spans="1:11">
      <c r="A12" s="39" t="s">
        <v>75</v>
      </c>
      <c r="B12" s="39" t="s">
        <v>351</v>
      </c>
      <c r="C12" s="39" t="s">
        <v>151</v>
      </c>
      <c r="D12" s="39" t="s">
        <v>121</v>
      </c>
      <c r="E12" s="39"/>
      <c r="F12" s="39">
        <f>'D3-4 分部分项工程量清单综合单价计算表(分页带材料)【现~'!F35</f>
        <v>0</v>
      </c>
      <c r="G12" s="39">
        <f>'D3-4 分部分项工程量清单综合单价计算表(分页带材料)【现~'!G35</f>
        <v>0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0</v>
      </c>
      <c r="J12" s="39">
        <f>'D3-4 分部分项工程量清单综合单价计算表(分页带材料)【现~'!J35</f>
        <v>0</v>
      </c>
      <c r="K12" s="39">
        <f>'D3-4 分部分项工程量清单综合单价计算表(分页带材料)【现~'!K35</f>
        <v>0</v>
      </c>
    </row>
    <row r="13" ht="19.95" customHeight="1" spans="1:11">
      <c r="A13" s="39" t="s">
        <v>77</v>
      </c>
      <c r="B13" s="39" t="s">
        <v>352</v>
      </c>
      <c r="C13" s="39" t="s">
        <v>153</v>
      </c>
      <c r="D13" s="39" t="s">
        <v>121</v>
      </c>
      <c r="E13" s="39"/>
      <c r="F13" s="39">
        <f>'D3-4 分部分项工程量清单综合单价计算表(分页带材料)【现~'!F39</f>
        <v>0</v>
      </c>
      <c r="G13" s="39">
        <f>'D3-4 分部分项工程量清单综合单价计算表(分页带材料)【现~'!G39</f>
        <v>0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0</v>
      </c>
      <c r="J13" s="39">
        <f>'D3-4 分部分项工程量清单综合单价计算表(分页带材料)【现~'!J39</f>
        <v>0</v>
      </c>
      <c r="K13" s="39">
        <f>'D3-4 分部分项工程量清单综合单价计算表(分页带材料)【现~'!K39</f>
        <v>0</v>
      </c>
    </row>
    <row r="14" ht="19.95" customHeight="1" spans="1:11">
      <c r="A14" s="39" t="s">
        <v>81</v>
      </c>
      <c r="B14" s="39" t="s">
        <v>353</v>
      </c>
      <c r="C14" s="39" t="s">
        <v>155</v>
      </c>
      <c r="D14" s="39" t="s">
        <v>121</v>
      </c>
      <c r="E14" s="39"/>
      <c r="F14" s="39">
        <f>'D3-4 分部分项工程量清单综合单价计算表(分页带材料)【现~'!F42</f>
        <v>0</v>
      </c>
      <c r="G14" s="39">
        <f>'D3-4 分部分项工程量清单综合单价计算表(分页带材料)【现~'!G42</f>
        <v>0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0</v>
      </c>
      <c r="J14" s="39">
        <f>'D3-4 分部分项工程量清单综合单价计算表(分页带材料)【现~'!J42</f>
        <v>0</v>
      </c>
      <c r="K14" s="39">
        <f>'D3-4 分部分项工程量清单综合单价计算表(分页带材料)【现~'!K42</f>
        <v>0</v>
      </c>
    </row>
    <row r="15" ht="19.95" customHeight="1" spans="1:11">
      <c r="A15" s="39" t="s">
        <v>156</v>
      </c>
      <c r="B15" s="39" t="s">
        <v>354</v>
      </c>
      <c r="C15" s="39" t="s">
        <v>158</v>
      </c>
      <c r="D15" s="39" t="s">
        <v>121</v>
      </c>
      <c r="E15" s="39"/>
      <c r="F15" s="39">
        <f>'D3-4 分部分项工程量清单综合单价计算表(分页带材料)【现~'!F45</f>
        <v>0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0</v>
      </c>
      <c r="J15" s="39">
        <f>'D3-4 分部分项工程量清单综合单价计算表(分页带材料)【现~'!J45</f>
        <v>0</v>
      </c>
      <c r="K15" s="39">
        <f>'D3-4 分部分项工程量清单综合单价计算表(分页带材料)【现~'!K45</f>
        <v>0</v>
      </c>
    </row>
    <row r="16" ht="34" customHeight="1" spans="1:11">
      <c r="A16" s="39" t="s">
        <v>159</v>
      </c>
      <c r="B16" s="39" t="s">
        <v>160</v>
      </c>
      <c r="C16" s="39" t="s">
        <v>161</v>
      </c>
      <c r="D16" s="39" t="s">
        <v>162</v>
      </c>
      <c r="E16" s="39"/>
      <c r="F16" s="39">
        <f>'D3-4 分部分项工程量清单综合单价计算表(分页带材料)【现~'!F48</f>
        <v>0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0</v>
      </c>
      <c r="I16" s="39">
        <f>'D3-4 分部分项工程量清单综合单价计算表(分页带材料)【现~'!I48</f>
        <v>0</v>
      </c>
      <c r="J16" s="39">
        <f>'D3-4 分部分项工程量清单综合单价计算表(分页带材料)【现~'!J48</f>
        <v>0</v>
      </c>
      <c r="K16" s="39">
        <f>'D3-4 分部分项工程量清单综合单价计算表(分页带材料)【现~'!K48</f>
        <v>0</v>
      </c>
    </row>
    <row r="17" ht="19.95" customHeight="1" spans="1:13">
      <c r="A17" s="57" t="s">
        <v>9</v>
      </c>
      <c r="B17" s="57" t="s">
        <v>9</v>
      </c>
      <c r="C17" s="39" t="s">
        <v>163</v>
      </c>
      <c r="D17" s="57"/>
      <c r="E17" s="58"/>
      <c r="F17" s="39">
        <f t="shared" ref="F17:J17" si="0">SUM(F8:F16)</f>
        <v>0</v>
      </c>
      <c r="G17" s="39">
        <f t="shared" si="0"/>
        <v>0</v>
      </c>
      <c r="H17" s="39">
        <f t="shared" si="0"/>
        <v>0</v>
      </c>
      <c r="I17" s="62">
        <f t="shared" si="0"/>
        <v>0</v>
      </c>
      <c r="J17" s="62">
        <f t="shared" si="0"/>
        <v>0</v>
      </c>
      <c r="K17" s="39">
        <f>SUM(F17:J17)</f>
        <v>0</v>
      </c>
      <c r="M17" t="e">
        <f>ROUND(K17/E14,2)</f>
        <v>#DIV/0!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4.4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305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3" t="s">
        <v>355</v>
      </c>
      <c r="K20" s="43" t="s">
        <v>0</v>
      </c>
    </row>
    <row r="21" ht="19.95" customHeight="1" spans="1:11">
      <c r="A21" s="36" t="s">
        <v>130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343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132</v>
      </c>
      <c r="K22" s="13" t="s">
        <v>0</v>
      </c>
    </row>
    <row r="23" ht="19.95" customHeight="1" spans="1:11">
      <c r="A23" s="20" t="s">
        <v>133</v>
      </c>
      <c r="B23" s="20" t="s">
        <v>0</v>
      </c>
      <c r="C23" s="13" t="s">
        <v>356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tr">
        <f>'D3-4 分部分项工程量清单综合单价计算表(分页带材料)【现~'!J60</f>
        <v>工程数量0亩 </v>
      </c>
      <c r="K23" s="13" t="s">
        <v>0</v>
      </c>
    </row>
    <row r="24" ht="19.95" customHeight="1" spans="1:11">
      <c r="A24" s="20" t="s">
        <v>135</v>
      </c>
      <c r="B24" s="20" t="s">
        <v>0</v>
      </c>
      <c r="C24" s="13" t="s">
        <v>357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e">
        <f>"综合单价："&amp;$M$36&amp;"元"</f>
        <v>#DIV/0!</v>
      </c>
      <c r="K24" s="13" t="s">
        <v>0</v>
      </c>
    </row>
    <row r="25" ht="19.95" customHeight="1" spans="1:11">
      <c r="A25" s="39" t="s">
        <v>32</v>
      </c>
      <c r="B25" s="39" t="s">
        <v>137</v>
      </c>
      <c r="C25" s="39" t="s">
        <v>138</v>
      </c>
      <c r="D25" s="39" t="s">
        <v>110</v>
      </c>
      <c r="E25" s="39" t="s">
        <v>139</v>
      </c>
      <c r="F25" s="39" t="s">
        <v>140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141</v>
      </c>
    </row>
    <row r="27" ht="19.95" customHeight="1" spans="1:11">
      <c r="A27" s="39" t="s">
        <v>53</v>
      </c>
      <c r="B27" s="39" t="s">
        <v>358</v>
      </c>
      <c r="C27" s="39" t="s">
        <v>347</v>
      </c>
      <c r="D27" s="39" t="s">
        <v>121</v>
      </c>
      <c r="E27" s="39"/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359</v>
      </c>
      <c r="C28" s="39" t="s">
        <v>145</v>
      </c>
      <c r="D28" s="39" t="s">
        <v>121</v>
      </c>
      <c r="E28" s="39"/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64</v>
      </c>
      <c r="B29" s="39" t="s">
        <v>360</v>
      </c>
      <c r="C29" s="39" t="s">
        <v>147</v>
      </c>
      <c r="D29" s="39" t="s">
        <v>121</v>
      </c>
      <c r="E29" s="39"/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74</v>
      </c>
      <c r="B30" s="39" t="s">
        <v>361</v>
      </c>
      <c r="C30" s="39" t="s">
        <v>149</v>
      </c>
      <c r="D30" s="39" t="s">
        <v>121</v>
      </c>
      <c r="E30" s="39"/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75</v>
      </c>
      <c r="B31" s="39" t="s">
        <v>362</v>
      </c>
      <c r="C31" s="39" t="s">
        <v>151</v>
      </c>
      <c r="D31" s="39" t="s">
        <v>121</v>
      </c>
      <c r="E31" s="39"/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77</v>
      </c>
      <c r="B32" s="39" t="s">
        <v>363</v>
      </c>
      <c r="C32" s="39" t="s">
        <v>153</v>
      </c>
      <c r="D32" s="39" t="s">
        <v>121</v>
      </c>
      <c r="E32" s="39"/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81</v>
      </c>
      <c r="B33" s="39" t="s">
        <v>364</v>
      </c>
      <c r="C33" s="39" t="s">
        <v>155</v>
      </c>
      <c r="D33" s="39" t="s">
        <v>121</v>
      </c>
      <c r="E33" s="39"/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156</v>
      </c>
      <c r="B34" s="39" t="s">
        <v>365</v>
      </c>
      <c r="C34" s="39" t="s">
        <v>158</v>
      </c>
      <c r="D34" s="39" t="s">
        <v>121</v>
      </c>
      <c r="E34" s="39"/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159</v>
      </c>
      <c r="B35" s="39" t="s">
        <v>160</v>
      </c>
      <c r="C35" s="39" t="s">
        <v>161</v>
      </c>
      <c r="D35" s="39" t="s">
        <v>162</v>
      </c>
      <c r="E35" s="39"/>
      <c r="F35" s="39">
        <f>'D3-4 分部分项工程量清单综合单价计算表(分页带材料)【现~'!F104</f>
        <v>0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7" t="s">
        <v>9</v>
      </c>
      <c r="B36" s="57" t="s">
        <v>9</v>
      </c>
      <c r="C36" s="39" t="s">
        <v>163</v>
      </c>
      <c r="D36" s="39"/>
      <c r="E36" s="61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2">
        <f t="shared" si="1"/>
        <v>0</v>
      </c>
      <c r="J36" s="62">
        <f t="shared" si="1"/>
        <v>0</v>
      </c>
      <c r="K36" s="39">
        <f>SUM(F36:J36)</f>
        <v>0</v>
      </c>
      <c r="M36" t="e">
        <f>ROUND(K36/E33,2)</f>
        <v>#DIV/0!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305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3" t="s">
        <v>366</v>
      </c>
      <c r="K39" s="43" t="s">
        <v>0</v>
      </c>
    </row>
    <row r="40" spans="1:11">
      <c r="A40" s="36" t="s">
        <v>130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343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132</v>
      </c>
      <c r="K41" s="13" t="s">
        <v>0</v>
      </c>
    </row>
    <row r="42" ht="19.95" customHeight="1" spans="1:11">
      <c r="A42" s="20" t="s">
        <v>133</v>
      </c>
      <c r="B42" s="20" t="s">
        <v>0</v>
      </c>
      <c r="C42" s="13" t="s">
        <v>367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tr">
        <f>'D3-4 分部分项工程量清单综合单价计算表(分页带材料)【现~'!J116</f>
        <v>工程数量4260.5亩 </v>
      </c>
      <c r="K42" s="13" t="s">
        <v>0</v>
      </c>
    </row>
    <row r="43" ht="19.95" customHeight="1" spans="1:11">
      <c r="A43" s="20" t="s">
        <v>135</v>
      </c>
      <c r="B43" s="20" t="s">
        <v>0</v>
      </c>
      <c r="C43" s="13" t="s">
        <v>368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"综合单价："&amp;$M$55&amp;"元"</f>
        <v>综合单价：1469.9元</v>
      </c>
      <c r="K43" s="13" t="s">
        <v>0</v>
      </c>
    </row>
    <row r="44" ht="19.95" customHeight="1" spans="1:11">
      <c r="A44" s="39" t="s">
        <v>32</v>
      </c>
      <c r="B44" s="39" t="s">
        <v>137</v>
      </c>
      <c r="C44" s="39" t="s">
        <v>138</v>
      </c>
      <c r="D44" s="39" t="s">
        <v>110</v>
      </c>
      <c r="E44" s="39" t="s">
        <v>139</v>
      </c>
      <c r="F44" s="39" t="s">
        <v>140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141</v>
      </c>
    </row>
    <row r="46" ht="19.95" customHeight="1" spans="1:11">
      <c r="A46" s="39" t="s">
        <v>53</v>
      </c>
      <c r="B46" s="39" t="s">
        <v>369</v>
      </c>
      <c r="C46" s="39" t="s">
        <v>347</v>
      </c>
      <c r="D46" s="39" t="s">
        <v>121</v>
      </c>
      <c r="E46" s="39">
        <f>'D3-4 分部分项工程量清单综合单价计算表(分页带材料)【现~'!E120</f>
        <v>0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370</v>
      </c>
      <c r="C47" s="39" t="s">
        <v>145</v>
      </c>
      <c r="D47" s="39" t="s">
        <v>121</v>
      </c>
      <c r="E47" s="39">
        <f>'D3-4 分部分项工程量清单综合单价计算表(分页带材料)【现~'!E131</f>
        <v>4260.5</v>
      </c>
      <c r="F47" s="39">
        <f>'D3-4 分部分项工程量清单综合单价计算表(分页带材料)【现~'!F131</f>
        <v>1228729.088</v>
      </c>
      <c r="G47" s="39">
        <f>'D3-4 分部分项工程量清单综合单价计算表(分页带材料)【现~'!G131</f>
        <v>530707.221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24574.58</v>
      </c>
      <c r="J47" s="39">
        <f>'D3-4 分部分项工程量清单综合单价计算表(分页带材料)【现~'!J131</f>
        <v>61436.45</v>
      </c>
      <c r="K47" s="39">
        <f>'D3-4 分部分项工程量清单综合单价计算表(分页带材料)【现~'!K131</f>
        <v>1845447.339</v>
      </c>
    </row>
    <row r="48" ht="19.95" customHeight="1" spans="1:11">
      <c r="A48" s="39" t="s">
        <v>64</v>
      </c>
      <c r="B48" s="39" t="s">
        <v>371</v>
      </c>
      <c r="C48" s="39" t="s">
        <v>147</v>
      </c>
      <c r="D48" s="39" t="s">
        <v>121</v>
      </c>
      <c r="E48" s="39">
        <f>'D3-4 分部分项工程量清单综合单价计算表(分页带材料)【现~'!E138</f>
        <v>4260.5</v>
      </c>
      <c r="F48" s="39">
        <f>'D3-4 分部分项工程量清单综合单价计算表(分页带材料)【现~'!F138</f>
        <v>153961.408</v>
      </c>
      <c r="G48" s="39">
        <f>'D3-4 分部分项工程量清单综合单价计算表(分页带材料)【现~'!G138</f>
        <v>514397.07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3079.23</v>
      </c>
      <c r="J48" s="39">
        <f>'D3-4 分部分项工程量清单综合单价计算表(分页带材料)【现~'!J138</f>
        <v>7698.07</v>
      </c>
      <c r="K48" s="39">
        <f>'D3-4 分部分项工程量清单综合单价计算表(分页带材料)【现~'!K138</f>
        <v>679135.778</v>
      </c>
    </row>
    <row r="49" ht="19.95" customHeight="1" spans="1:11">
      <c r="A49" s="39" t="s">
        <v>74</v>
      </c>
      <c r="B49" s="39" t="s">
        <v>372</v>
      </c>
      <c r="C49" s="39" t="s">
        <v>149</v>
      </c>
      <c r="D49" s="39" t="s">
        <v>121</v>
      </c>
      <c r="E49" s="39">
        <f>'D3-4 分部分项工程量清单综合单价计算表(分页带材料)【现~'!E142</f>
        <v>4260.5</v>
      </c>
      <c r="F49" s="39">
        <f>'D3-4 分部分项工程量清单综合单价计算表(分页带材料)【现~'!F142</f>
        <v>715172.16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14303.44</v>
      </c>
      <c r="J49" s="39">
        <f>'D3-4 分部分项工程量清单综合单价计算表(分页带材料)【现~'!J142</f>
        <v>35758.61</v>
      </c>
      <c r="K49" s="39">
        <f>'D3-4 分部分项工程量清单综合单价计算表(分页带材料)【现~'!K142</f>
        <v>765234.21</v>
      </c>
    </row>
    <row r="50" ht="19.95" customHeight="1" spans="1:11">
      <c r="A50" s="39" t="s">
        <v>75</v>
      </c>
      <c r="B50" s="39" t="s">
        <v>373</v>
      </c>
      <c r="C50" s="39" t="s">
        <v>151</v>
      </c>
      <c r="D50" s="39" t="s">
        <v>121</v>
      </c>
      <c r="E50" s="39">
        <f>'D3-4 分部分项工程量清单综合单价计算表(分页带材料)【现~'!E147</f>
        <v>4260.5</v>
      </c>
      <c r="F50" s="39">
        <f>'D3-4 分部分项工程量清单综合单价计算表(分页带材料)【现~'!F147</f>
        <v>48231.424</v>
      </c>
      <c r="G50" s="39">
        <f>'D3-4 分部分项工程量清单综合单价计算表(分页带材料)【现~'!G147</f>
        <v>77530.13004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964.63</v>
      </c>
      <c r="J50" s="39">
        <f>'D3-4 分部分项工程量清单综合单价计算表(分页带材料)【现~'!J147</f>
        <v>2411.57</v>
      </c>
      <c r="K50" s="39">
        <f>'D3-4 分部分项工程量清单综合单价计算表(分页带材料)【现~'!K147</f>
        <v>129137.75404</v>
      </c>
    </row>
    <row r="51" ht="19.95" customHeight="1" spans="1:11">
      <c r="A51" s="39" t="s">
        <v>77</v>
      </c>
      <c r="B51" s="39" t="s">
        <v>374</v>
      </c>
      <c r="C51" s="39" t="s">
        <v>153</v>
      </c>
      <c r="D51" s="39" t="s">
        <v>121</v>
      </c>
      <c r="E51" s="39">
        <f>'D3-4 分部分项工程量清单综合单价计算表(分页带材料)【现~'!E151</f>
        <v>4260.5</v>
      </c>
      <c r="F51" s="39">
        <f>'D3-4 分部分项工程量清单综合单价计算表(分页带材料)【现~'!F151</f>
        <v>461868.416</v>
      </c>
      <c r="G51" s="39">
        <f>'D3-4 分部分项工程量清单综合单价计算表(分页带材料)【现~'!G151</f>
        <v>883134.972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9237.37</v>
      </c>
      <c r="J51" s="39">
        <f>'D3-4 分部分项工程量清单综合单价计算表(分页带材料)【现~'!J151</f>
        <v>23093.42</v>
      </c>
      <c r="K51" s="39">
        <f>'D3-4 分部分项工程量清单综合单价计算表(分页带材料)【现~'!K151</f>
        <v>1377334.178</v>
      </c>
    </row>
    <row r="52" ht="19.95" customHeight="1" spans="1:11">
      <c r="A52" s="39" t="s">
        <v>81</v>
      </c>
      <c r="B52" s="39" t="s">
        <v>375</v>
      </c>
      <c r="C52" s="39" t="s">
        <v>155</v>
      </c>
      <c r="D52" s="39" t="s">
        <v>121</v>
      </c>
      <c r="E52" s="39">
        <f>'D3-4 分部分项工程量清单综合单价计算表(分页带材料)【现~'!E154</f>
        <v>4260.5</v>
      </c>
      <c r="F52" s="39">
        <f>'D3-4 分部分项工程量清单综合单价计算表(分页带材料)【现~'!F154</f>
        <v>352858.88</v>
      </c>
      <c r="G52" s="39">
        <f>'D3-4 分部分项工程量清单综合单价计算表(分页带材料)【现~'!G154</f>
        <v>201849.065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7057.18</v>
      </c>
      <c r="J52" s="39">
        <f>'D3-4 分部分项工程量清单综合单价计算表(分页带材料)【现~'!J154</f>
        <v>17642.94</v>
      </c>
      <c r="K52" s="39">
        <f>'D3-4 分部分项工程量清单综合单价计算表(分页带材料)【现~'!K154</f>
        <v>579408.065</v>
      </c>
    </row>
    <row r="53" ht="19.95" customHeight="1" spans="1:11">
      <c r="A53" s="39" t="s">
        <v>156</v>
      </c>
      <c r="B53" s="39" t="s">
        <v>376</v>
      </c>
      <c r="C53" s="39" t="s">
        <v>158</v>
      </c>
      <c r="D53" s="39" t="s">
        <v>121</v>
      </c>
      <c r="E53" s="39">
        <f>'D3-4 分部分项工程量清单综合单价计算表(分页带材料)【现~'!E157</f>
        <v>4260.5</v>
      </c>
      <c r="F53" s="39">
        <f>'D3-4 分部分项工程量清单综合单价计算表(分页带材料)【现~'!F157</f>
        <v>129519.2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2590.38</v>
      </c>
      <c r="J53" s="39">
        <f>'D3-4 分部分项工程量清单综合单价计算表(分页带材料)【现~'!J157</f>
        <v>6475.96</v>
      </c>
      <c r="K53" s="39">
        <f>'D3-4 分部分项工程量清单综合单价计算表(分页带材料)【现~'!K157</f>
        <v>138585.54</v>
      </c>
    </row>
    <row r="54" ht="34" customHeight="1" spans="1:11">
      <c r="A54" s="39" t="s">
        <v>159</v>
      </c>
      <c r="B54" s="39" t="s">
        <v>160</v>
      </c>
      <c r="C54" s="39" t="s">
        <v>161</v>
      </c>
      <c r="D54" s="39" t="s">
        <v>162</v>
      </c>
      <c r="E54" s="39">
        <f>'D3-4 分部分项工程量清单综合单价计算表(分页带材料)【现~'!E160</f>
        <v>1932</v>
      </c>
      <c r="F54" s="39">
        <f>'D3-4 分部分项工程量清单综合单价计算表(分页带材料)【现~'!F160</f>
        <v>200756.052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533403.948</v>
      </c>
      <c r="I54" s="39">
        <f>'D3-4 分部分项工程量清单综合单价计算表(分页带材料)【现~'!I160</f>
        <v>4015.12</v>
      </c>
      <c r="J54" s="39">
        <f>'D3-4 分部分项工程量清单综合单价计算表(分页带材料)【现~'!J160</f>
        <v>10037.8</v>
      </c>
      <c r="K54" s="39">
        <f>'D3-4 分部分项工程量清单综合单价计算表(分页带材料)【现~'!K160</f>
        <v>748212.92</v>
      </c>
    </row>
    <row r="55" ht="19.95" customHeight="1" spans="1:13">
      <c r="A55" s="57" t="s">
        <v>9</v>
      </c>
      <c r="B55" s="57" t="s">
        <v>9</v>
      </c>
      <c r="C55" s="39" t="s">
        <v>163</v>
      </c>
      <c r="D55" s="57"/>
      <c r="E55" s="58"/>
      <c r="F55" s="39">
        <f>SUM(F46:F54)</f>
        <v>3291096.628</v>
      </c>
      <c r="G55" s="39">
        <f>SUM(G46:G54)</f>
        <v>2207618.45804</v>
      </c>
      <c r="H55" s="39">
        <f>SUM(H46:H54)</f>
        <v>533403.948</v>
      </c>
      <c r="I55" s="62">
        <f>SUM(I46:I54)</f>
        <v>65821.93</v>
      </c>
      <c r="J55" s="62">
        <f>SUM(J46:J54)</f>
        <v>164554.82</v>
      </c>
      <c r="K55" s="39">
        <f>SUM(F55:J55)</f>
        <v>6262495.78404</v>
      </c>
      <c r="M55">
        <f>ROUND(K55/E53,2)</f>
        <v>1469.9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305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3" t="s">
        <v>377</v>
      </c>
      <c r="K58" s="43" t="s">
        <v>0</v>
      </c>
    </row>
    <row r="59" ht="19.95" customHeight="1" spans="1:11">
      <c r="A59" s="36" t="s">
        <v>130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343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132</v>
      </c>
      <c r="K60" s="13" t="s">
        <v>0</v>
      </c>
    </row>
    <row r="61" ht="19.95" customHeight="1" spans="1:11">
      <c r="A61" s="20" t="s">
        <v>133</v>
      </c>
      <c r="B61" s="20" t="s">
        <v>0</v>
      </c>
      <c r="C61" s="13" t="s">
        <v>378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tr">
        <f>'D3-4 分部分项工程量清单综合单价计算表(分页带材料)【现~'!J172</f>
        <v>工程数量0亩 </v>
      </c>
      <c r="K61" s="13" t="s">
        <v>0</v>
      </c>
    </row>
    <row r="62" ht="19.95" customHeight="1" spans="1:11">
      <c r="A62" s="20" t="s">
        <v>135</v>
      </c>
      <c r="B62" s="20" t="s">
        <v>0</v>
      </c>
      <c r="C62" s="13" t="s">
        <v>379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e">
        <f>"综合单价："&amp;$M$74&amp;"元"</f>
        <v>#DIV/0!</v>
      </c>
      <c r="K62" s="13" t="s">
        <v>0</v>
      </c>
    </row>
    <row r="63" ht="19.95" customHeight="1" spans="1:11">
      <c r="A63" s="39" t="s">
        <v>32</v>
      </c>
      <c r="B63" s="39" t="s">
        <v>137</v>
      </c>
      <c r="C63" s="39" t="s">
        <v>138</v>
      </c>
      <c r="D63" s="39" t="s">
        <v>110</v>
      </c>
      <c r="E63" s="39" t="s">
        <v>139</v>
      </c>
      <c r="F63" s="39" t="s">
        <v>140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141</v>
      </c>
    </row>
    <row r="65" ht="19.95" customHeight="1" spans="1:11">
      <c r="A65" s="39" t="s">
        <v>53</v>
      </c>
      <c r="B65" s="39" t="s">
        <v>380</v>
      </c>
      <c r="C65" s="39" t="s">
        <v>347</v>
      </c>
      <c r="D65" s="39" t="s">
        <v>121</v>
      </c>
      <c r="E65" s="39"/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381</v>
      </c>
      <c r="C66" s="39" t="s">
        <v>145</v>
      </c>
      <c r="D66" s="39" t="s">
        <v>121</v>
      </c>
      <c r="E66" s="39"/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64</v>
      </c>
      <c r="B67" s="39" t="s">
        <v>382</v>
      </c>
      <c r="C67" s="39" t="s">
        <v>147</v>
      </c>
      <c r="D67" s="39" t="s">
        <v>121</v>
      </c>
      <c r="E67" s="39"/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74</v>
      </c>
      <c r="B68" s="39" t="s">
        <v>383</v>
      </c>
      <c r="C68" s="39" t="s">
        <v>149</v>
      </c>
      <c r="D68" s="39" t="s">
        <v>121</v>
      </c>
      <c r="E68" s="39"/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75</v>
      </c>
      <c r="B69" s="39" t="s">
        <v>384</v>
      </c>
      <c r="C69" s="39" t="s">
        <v>151</v>
      </c>
      <c r="D69" s="39" t="s">
        <v>121</v>
      </c>
      <c r="E69" s="39"/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77</v>
      </c>
      <c r="B70" s="39" t="s">
        <v>385</v>
      </c>
      <c r="C70" s="39" t="s">
        <v>153</v>
      </c>
      <c r="D70" s="39" t="s">
        <v>121</v>
      </c>
      <c r="E70" s="39"/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81</v>
      </c>
      <c r="B71" s="39" t="s">
        <v>386</v>
      </c>
      <c r="C71" s="39" t="s">
        <v>155</v>
      </c>
      <c r="D71" s="39" t="s">
        <v>121</v>
      </c>
      <c r="E71" s="39"/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156</v>
      </c>
      <c r="B72" s="39" t="s">
        <v>387</v>
      </c>
      <c r="C72" s="39" t="s">
        <v>158</v>
      </c>
      <c r="D72" s="39" t="s">
        <v>121</v>
      </c>
      <c r="E72" s="39"/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159</v>
      </c>
      <c r="B73" s="39" t="s">
        <v>160</v>
      </c>
      <c r="C73" s="39" t="s">
        <v>161</v>
      </c>
      <c r="D73" s="39" t="s">
        <v>162</v>
      </c>
      <c r="E73" s="39"/>
      <c r="F73" s="39">
        <f>'D3-4 分部分项工程量清单综合单价计算表(分页带材料)【现~'!F216</f>
        <v>0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7" t="s">
        <v>9</v>
      </c>
      <c r="B74" s="57" t="s">
        <v>9</v>
      </c>
      <c r="C74" s="39" t="s">
        <v>163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2">
        <f t="shared" si="2"/>
        <v>0</v>
      </c>
      <c r="J74" s="62">
        <f t="shared" si="2"/>
        <v>0</v>
      </c>
      <c r="K74" s="39">
        <f>SUM(F74:J74)</f>
        <v>0</v>
      </c>
      <c r="M74" t="e">
        <f>ROUND(K74/E72,2)</f>
        <v>#DIV/0!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305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388</v>
      </c>
      <c r="K95" s="56" t="s">
        <v>0</v>
      </c>
    </row>
    <row r="96" s="35" customFormat="1" hidden="1" spans="1:11">
      <c r="A96" s="47" t="s">
        <v>130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389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132</v>
      </c>
      <c r="K97" s="64" t="s">
        <v>0</v>
      </c>
    </row>
    <row r="98" s="35" customFormat="1" ht="19.95" hidden="1" customHeight="1" spans="1:11">
      <c r="A98" s="63" t="s">
        <v>133</v>
      </c>
      <c r="B98" s="63" t="s">
        <v>0</v>
      </c>
      <c r="C98" s="64" t="s">
        <v>390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135</v>
      </c>
      <c r="B99" s="63" t="s">
        <v>0</v>
      </c>
      <c r="C99" s="64" t="s">
        <v>391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137</v>
      </c>
      <c r="C100" s="52" t="s">
        <v>138</v>
      </c>
      <c r="D100" s="52" t="s">
        <v>110</v>
      </c>
      <c r="E100" s="52" t="s">
        <v>139</v>
      </c>
      <c r="F100" s="52" t="s">
        <v>140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141</v>
      </c>
    </row>
    <row r="102" s="35" customFormat="1" ht="19.95" hidden="1" customHeight="1" spans="1:11">
      <c r="A102" s="65" t="s">
        <v>53</v>
      </c>
      <c r="B102" s="65" t="s">
        <v>392</v>
      </c>
      <c r="C102" s="66" t="s">
        <v>393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9</v>
      </c>
      <c r="J102" s="67" t="s">
        <v>9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394</v>
      </c>
      <c r="C103" s="66" t="s">
        <v>151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9</v>
      </c>
      <c r="J103" s="67" t="s">
        <v>9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395</v>
      </c>
      <c r="C104" s="66" t="s">
        <v>147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9</v>
      </c>
      <c r="J104" s="67" t="s">
        <v>9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396</v>
      </c>
      <c r="C105" s="66" t="s">
        <v>397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9</v>
      </c>
      <c r="J105" s="67" t="s">
        <v>9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398</v>
      </c>
      <c r="C106" s="66" t="s">
        <v>155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9</v>
      </c>
      <c r="J106" s="67" t="s">
        <v>9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399</v>
      </c>
      <c r="C107" s="66" t="s">
        <v>181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9</v>
      </c>
      <c r="J107" s="67" t="s">
        <v>9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400</v>
      </c>
      <c r="C108" s="66" t="s">
        <v>401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156</v>
      </c>
      <c r="B109" s="65" t="s">
        <v>402</v>
      </c>
      <c r="C109" s="66" t="s">
        <v>158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9</v>
      </c>
      <c r="J109" s="67" t="s">
        <v>9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9</v>
      </c>
      <c r="B110" s="65" t="s">
        <v>9</v>
      </c>
      <c r="C110" s="65" t="s">
        <v>163</v>
      </c>
      <c r="D110" s="65" t="s">
        <v>9</v>
      </c>
      <c r="E110" s="67" t="s">
        <v>9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9</v>
      </c>
      <c r="J110" s="67" t="s">
        <v>9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67" workbookViewId="0">
      <selection activeCell="J116" sqref="J116:K116"/>
    </sheetView>
  </sheetViews>
  <sheetFormatPr defaultColWidth="9" defaultRowHeight="14"/>
  <cols>
    <col min="2" max="2" width="13.4454545454545" customWidth="1"/>
    <col min="3" max="3" width="28.7818181818182" customWidth="1"/>
    <col min="5" max="5" width="9.33636363636364" customWidth="1"/>
    <col min="6" max="6" width="11.7818181818182" customWidth="1"/>
    <col min="7" max="7" width="10.2090909090909" customWidth="1"/>
    <col min="8" max="8" width="10.5454545454545"/>
    <col min="9" max="9" width="9.44545454545455"/>
    <col min="10" max="10" width="10.8818181818182" customWidth="1"/>
    <col min="11" max="11" width="10.2090909090909" customWidth="1"/>
    <col min="12" max="12" width="11.7818181818182"/>
  </cols>
  <sheetData>
    <row r="1" ht="26.4" customHeight="1" spans="1:11">
      <c r="A1" s="36" t="s">
        <v>0</v>
      </c>
      <c r="B1" s="36" t="s">
        <v>0</v>
      </c>
      <c r="C1" s="37" t="s">
        <v>129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403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405</v>
      </c>
      <c r="K3" s="13" t="s">
        <v>0</v>
      </c>
    </row>
    <row r="4" spans="1:11">
      <c r="A4" s="20" t="s">
        <v>133</v>
      </c>
      <c r="B4" s="20" t="s">
        <v>0</v>
      </c>
      <c r="C4" s="13" t="s">
        <v>123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"工程数量"&amp;$E$19&amp;"亩 "</f>
        <v>工程数量0亩 </v>
      </c>
      <c r="K4" s="13"/>
    </row>
    <row r="5" spans="1:11">
      <c r="A5" s="20" t="s">
        <v>135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"综合单价："&amp;$M$54&amp;"元 "</f>
        <v>#DIV/0!</v>
      </c>
      <c r="K5" s="13" t="s">
        <v>0</v>
      </c>
    </row>
    <row r="6" spans="1:11">
      <c r="A6" s="39" t="s">
        <v>32</v>
      </c>
      <c r="B6" s="39" t="s">
        <v>137</v>
      </c>
      <c r="C6" s="39" t="s">
        <v>138</v>
      </c>
      <c r="D6" s="39" t="s">
        <v>110</v>
      </c>
      <c r="E6" s="39" t="s">
        <v>139</v>
      </c>
      <c r="F6" s="39" t="s">
        <v>406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141</v>
      </c>
    </row>
    <row r="8" spans="1:11">
      <c r="A8" s="40">
        <v>1</v>
      </c>
      <c r="B8" s="39" t="s">
        <v>346</v>
      </c>
      <c r="C8" s="41" t="s">
        <v>347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316</v>
      </c>
      <c r="D9" s="41" t="s">
        <v>168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167</v>
      </c>
      <c r="D10" s="41" t="s">
        <v>168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317</v>
      </c>
      <c r="D11" s="41" t="s">
        <v>168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318</v>
      </c>
      <c r="D12" s="41" t="s">
        <v>168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319</v>
      </c>
      <c r="D13" s="41" t="s">
        <v>168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320</v>
      </c>
      <c r="D14" s="41" t="s">
        <v>168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321</v>
      </c>
      <c r="D15" s="41" t="s">
        <v>168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322</v>
      </c>
      <c r="D16" s="41" t="s">
        <v>168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169</v>
      </c>
      <c r="D17" s="41" t="s">
        <v>168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170</v>
      </c>
      <c r="D18" s="41" t="s">
        <v>168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348</v>
      </c>
      <c r="C19" s="41" t="s">
        <v>145</v>
      </c>
      <c r="D19" s="41" t="s">
        <v>121</v>
      </c>
      <c r="E19" s="39">
        <v>0</v>
      </c>
      <c r="F19" s="39">
        <f>SUM(F20:F25)</f>
        <v>0</v>
      </c>
      <c r="G19" s="39">
        <f>SUM(G20:G25)</f>
        <v>0</v>
      </c>
      <c r="H19" s="39"/>
      <c r="I19" s="39">
        <f t="shared" si="1"/>
        <v>0</v>
      </c>
      <c r="J19" s="39">
        <f t="shared" si="2"/>
        <v>0</v>
      </c>
      <c r="K19" s="39">
        <f t="shared" ref="K19:K31" si="4">SUM(F19:J19)</f>
        <v>0</v>
      </c>
    </row>
    <row r="20" spans="1:11">
      <c r="A20" s="40">
        <v>13</v>
      </c>
      <c r="B20" s="39"/>
      <c r="C20" s="41" t="s">
        <v>171</v>
      </c>
      <c r="D20" s="41" t="s">
        <v>168</v>
      </c>
      <c r="E20" s="40"/>
      <c r="F20" s="42">
        <f>E20*$L$10*0.95</f>
        <v>0</v>
      </c>
      <c r="G20" s="39" t="s">
        <v>0</v>
      </c>
      <c r="H20" s="39"/>
      <c r="I20" s="39">
        <f t="shared" si="1"/>
        <v>0</v>
      </c>
      <c r="J20" s="39">
        <f t="shared" si="2"/>
        <v>0</v>
      </c>
      <c r="K20" s="39">
        <f t="shared" si="4"/>
        <v>0</v>
      </c>
    </row>
    <row r="21" spans="1:11">
      <c r="A21" s="40">
        <v>14</v>
      </c>
      <c r="B21" s="39"/>
      <c r="C21" s="41" t="s">
        <v>172</v>
      </c>
      <c r="D21" s="41" t="s">
        <v>168</v>
      </c>
      <c r="E21" s="40"/>
      <c r="F21" s="42">
        <f>E21*$L$10*0.95</f>
        <v>0</v>
      </c>
      <c r="G21" s="39" t="s">
        <v>0</v>
      </c>
      <c r="H21" s="39"/>
      <c r="I21" s="39">
        <f t="shared" si="1"/>
        <v>0</v>
      </c>
      <c r="J21" s="39">
        <f t="shared" si="2"/>
        <v>0</v>
      </c>
      <c r="K21" s="39">
        <f t="shared" si="4"/>
        <v>0</v>
      </c>
    </row>
    <row r="22" spans="1:11">
      <c r="A22" s="40">
        <v>15</v>
      </c>
      <c r="B22" s="39"/>
      <c r="C22" s="41" t="s">
        <v>173</v>
      </c>
      <c r="D22" s="41" t="s">
        <v>168</v>
      </c>
      <c r="E22" s="40"/>
      <c r="F22" s="42">
        <f>E22*$L$10*0.95</f>
        <v>0</v>
      </c>
      <c r="G22" s="39" t="s">
        <v>0</v>
      </c>
      <c r="H22" s="39"/>
      <c r="I22" s="39">
        <f t="shared" si="1"/>
        <v>0</v>
      </c>
      <c r="J22" s="39">
        <f t="shared" si="2"/>
        <v>0</v>
      </c>
      <c r="K22" s="39">
        <f t="shared" si="4"/>
        <v>0</v>
      </c>
    </row>
    <row r="23" spans="1:12">
      <c r="A23" s="40">
        <v>16</v>
      </c>
      <c r="B23" s="39"/>
      <c r="C23" s="41" t="s">
        <v>407</v>
      </c>
      <c r="D23" s="41" t="s">
        <v>175</v>
      </c>
      <c r="E23" s="40"/>
      <c r="F23" s="39" t="s">
        <v>0</v>
      </c>
      <c r="G23" s="42">
        <f>E23*L23*0.95</f>
        <v>0</v>
      </c>
      <c r="H23" s="39"/>
      <c r="I23" s="39"/>
      <c r="J23" s="39"/>
      <c r="K23" s="39">
        <f t="shared" si="4"/>
        <v>0</v>
      </c>
      <c r="L23">
        <v>3.83</v>
      </c>
    </row>
    <row r="24" spans="1:12">
      <c r="A24" s="40">
        <v>17</v>
      </c>
      <c r="B24" s="39"/>
      <c r="C24" s="41" t="s">
        <v>176</v>
      </c>
      <c r="D24" s="41" t="s">
        <v>175</v>
      </c>
      <c r="E24" s="40"/>
      <c r="F24" s="39" t="s">
        <v>0</v>
      </c>
      <c r="G24" s="42">
        <f>E24*L24*0.95</f>
        <v>0</v>
      </c>
      <c r="H24" s="39" t="s">
        <v>0</v>
      </c>
      <c r="I24" s="39"/>
      <c r="J24" s="39"/>
      <c r="K24" s="39">
        <f t="shared" si="4"/>
        <v>0</v>
      </c>
      <c r="L24">
        <v>4.83</v>
      </c>
    </row>
    <row r="25" spans="1:11">
      <c r="A25" s="40">
        <v>18</v>
      </c>
      <c r="B25" s="39"/>
      <c r="C25" s="41" t="s">
        <v>177</v>
      </c>
      <c r="D25" s="41" t="s">
        <v>168</v>
      </c>
      <c r="E25" s="40"/>
      <c r="F25" s="42">
        <f>E25*$L$10*0.95</f>
        <v>0</v>
      </c>
      <c r="G25" s="39" t="s">
        <v>0</v>
      </c>
      <c r="H25" s="39"/>
      <c r="I25" s="39">
        <f>ROUND(F25*0.02,2)</f>
        <v>0</v>
      </c>
      <c r="J25" s="39">
        <f>ROUND(F25*0.05,2)</f>
        <v>0</v>
      </c>
      <c r="K25" s="39">
        <f t="shared" si="4"/>
        <v>0</v>
      </c>
    </row>
    <row r="26" spans="1:11">
      <c r="A26" s="39">
        <v>19</v>
      </c>
      <c r="B26" s="39" t="s">
        <v>349</v>
      </c>
      <c r="C26" s="41" t="s">
        <v>147</v>
      </c>
      <c r="D26" s="41" t="s">
        <v>121</v>
      </c>
      <c r="E26" s="39"/>
      <c r="F26" s="39">
        <f>SUM(F27:F29)</f>
        <v>0</v>
      </c>
      <c r="G26" s="39">
        <f>SUM(G27:G29)</f>
        <v>0</v>
      </c>
      <c r="H26" s="39" t="s">
        <v>0</v>
      </c>
      <c r="I26" s="39">
        <f t="shared" ref="I26:I27" si="5">ROUND(F26*0.02,2)</f>
        <v>0</v>
      </c>
      <c r="J26" s="39">
        <f t="shared" ref="J26:J27" si="6">ROUND(F26*0.05,2)</f>
        <v>0</v>
      </c>
      <c r="K26" s="39">
        <f t="shared" si="4"/>
        <v>0</v>
      </c>
    </row>
    <row r="27" spans="1:11">
      <c r="A27" s="39">
        <v>20</v>
      </c>
      <c r="B27" s="39"/>
      <c r="C27" s="41" t="s">
        <v>147</v>
      </c>
      <c r="D27" s="41" t="s">
        <v>168</v>
      </c>
      <c r="E27" s="40"/>
      <c r="F27" s="42">
        <f>E27*$L$10*0.95</f>
        <v>0</v>
      </c>
      <c r="G27" s="39" t="s">
        <v>0</v>
      </c>
      <c r="H27" s="39"/>
      <c r="I27" s="39">
        <f t="shared" si="5"/>
        <v>0</v>
      </c>
      <c r="J27" s="39">
        <f t="shared" si="6"/>
        <v>0</v>
      </c>
      <c r="K27" s="39">
        <f t="shared" si="4"/>
        <v>0</v>
      </c>
    </row>
    <row r="28" s="34" customFormat="1" spans="1:12">
      <c r="A28" s="39">
        <v>21</v>
      </c>
      <c r="B28" s="39"/>
      <c r="C28" s="41" t="s">
        <v>178</v>
      </c>
      <c r="D28" s="41" t="s">
        <v>179</v>
      </c>
      <c r="E28" s="40"/>
      <c r="F28" s="39" t="s">
        <v>0</v>
      </c>
      <c r="G28" s="42">
        <f>E28*0.95</f>
        <v>0</v>
      </c>
      <c r="H28" s="39"/>
      <c r="I28" s="39"/>
      <c r="J28" s="39"/>
      <c r="K28" s="39">
        <f t="shared" si="4"/>
        <v>0</v>
      </c>
      <c r="L28" s="34">
        <v>10533.6</v>
      </c>
    </row>
    <row r="29" s="34" customFormat="1" spans="1:13">
      <c r="A29" s="39">
        <v>22</v>
      </c>
      <c r="B29" s="39"/>
      <c r="C29" s="41" t="s">
        <v>180</v>
      </c>
      <c r="D29" s="41" t="s">
        <v>179</v>
      </c>
      <c r="E29" s="40"/>
      <c r="F29" s="39" t="s">
        <v>0</v>
      </c>
      <c r="G29" s="42">
        <f>E29*M29*0.95</f>
        <v>0</v>
      </c>
      <c r="H29" s="39"/>
      <c r="I29" s="39"/>
      <c r="J29" s="39"/>
      <c r="K29" s="39">
        <f t="shared" si="4"/>
        <v>0</v>
      </c>
      <c r="L29" s="34">
        <v>277.2</v>
      </c>
      <c r="M29" s="34">
        <v>3</v>
      </c>
    </row>
    <row r="30" spans="1:11">
      <c r="A30" s="39">
        <v>23</v>
      </c>
      <c r="B30" s="39" t="s">
        <v>350</v>
      </c>
      <c r="C30" s="41" t="s">
        <v>149</v>
      </c>
      <c r="D30" s="41" t="s">
        <v>121</v>
      </c>
      <c r="E30" s="39"/>
      <c r="F30" s="39">
        <f>SUM(F31:F32)</f>
        <v>0</v>
      </c>
      <c r="G30" s="39"/>
      <c r="H30" s="39"/>
      <c r="I30" s="39">
        <f t="shared" ref="I30:I31" si="7">ROUND(F30*0.02,2)</f>
        <v>0</v>
      </c>
      <c r="J30" s="39">
        <f t="shared" ref="J30:J31" si="8">ROUND(F30*0.05,2)</f>
        <v>0</v>
      </c>
      <c r="K30" s="39">
        <f t="shared" ref="K30:K46" si="9">SUM(F30:J30)</f>
        <v>0</v>
      </c>
    </row>
    <row r="31" spans="1:11">
      <c r="A31" s="39">
        <v>24</v>
      </c>
      <c r="B31" s="39"/>
      <c r="C31" s="41" t="s">
        <v>181</v>
      </c>
      <c r="D31" s="41" t="s">
        <v>168</v>
      </c>
      <c r="E31" s="40"/>
      <c r="F31" s="42">
        <f>E31*$L$10*0.95</f>
        <v>0</v>
      </c>
      <c r="G31" s="39"/>
      <c r="H31" s="39" t="s">
        <v>0</v>
      </c>
      <c r="I31" s="39">
        <f t="shared" si="7"/>
        <v>0</v>
      </c>
      <c r="J31" s="39">
        <f t="shared" si="8"/>
        <v>0</v>
      </c>
      <c r="K31" s="39">
        <f t="shared" si="9"/>
        <v>0</v>
      </c>
    </row>
    <row r="32" spans="1:11">
      <c r="A32" s="39">
        <v>25</v>
      </c>
      <c r="B32" s="39"/>
      <c r="C32" s="41" t="s">
        <v>182</v>
      </c>
      <c r="D32" s="41" t="s">
        <v>183</v>
      </c>
      <c r="E32" s="39"/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305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3" t="s">
        <v>408</v>
      </c>
      <c r="K33" s="43" t="s">
        <v>0</v>
      </c>
    </row>
    <row r="34" spans="1:11">
      <c r="A34" s="38" t="s">
        <v>130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351</v>
      </c>
      <c r="C35" s="41" t="s">
        <v>151</v>
      </c>
      <c r="D35" s="41" t="s">
        <v>121</v>
      </c>
      <c r="E35" s="39"/>
      <c r="F35" s="39">
        <f>SUM(F36:F38)</f>
        <v>0</v>
      </c>
      <c r="G35" s="39">
        <f>SUM(G36:G38)</f>
        <v>0</v>
      </c>
      <c r="H35" s="39"/>
      <c r="I35" s="39">
        <f>ROUND(F35*0.02,2)</f>
        <v>0</v>
      </c>
      <c r="J35" s="39">
        <f>ROUND(F35*0.05,2)</f>
        <v>0</v>
      </c>
      <c r="K35" s="39">
        <f t="shared" si="9"/>
        <v>0</v>
      </c>
    </row>
    <row r="36" spans="1:11">
      <c r="A36" s="39">
        <v>27</v>
      </c>
      <c r="B36" s="39"/>
      <c r="C36" s="41" t="s">
        <v>151</v>
      </c>
      <c r="D36" s="41" t="s">
        <v>168</v>
      </c>
      <c r="E36" s="40"/>
      <c r="F36" s="42">
        <f>E36*$L$10*0.95</f>
        <v>0</v>
      </c>
      <c r="G36" s="39" t="s">
        <v>0</v>
      </c>
      <c r="H36" s="39"/>
      <c r="I36" s="39">
        <f>ROUND(F36*0.02,2)</f>
        <v>0</v>
      </c>
      <c r="J36" s="39">
        <f>ROUND(F36*0.05,2)</f>
        <v>0</v>
      </c>
      <c r="K36" s="39">
        <f t="shared" si="9"/>
        <v>0</v>
      </c>
    </row>
    <row r="37" spans="1:12">
      <c r="A37" s="39">
        <v>28</v>
      </c>
      <c r="B37" s="39"/>
      <c r="C37" s="41" t="s">
        <v>407</v>
      </c>
      <c r="D37" s="41" t="s">
        <v>175</v>
      </c>
      <c r="E37" s="40"/>
      <c r="F37" s="39" t="s">
        <v>0</v>
      </c>
      <c r="G37" s="42">
        <f>E37*L37*0.95</f>
        <v>0</v>
      </c>
      <c r="H37" s="39"/>
      <c r="I37" s="39"/>
      <c r="J37" s="39"/>
      <c r="K37" s="39">
        <f t="shared" si="9"/>
        <v>0</v>
      </c>
      <c r="L37">
        <v>3.83</v>
      </c>
    </row>
    <row r="38" spans="1:12">
      <c r="A38" s="39">
        <v>29</v>
      </c>
      <c r="B38" s="39"/>
      <c r="C38" s="41" t="s">
        <v>176</v>
      </c>
      <c r="D38" s="41" t="s">
        <v>175</v>
      </c>
      <c r="E38" s="40"/>
      <c r="F38" s="39" t="s">
        <v>0</v>
      </c>
      <c r="G38" s="42">
        <f>E38*L38*0.95</f>
        <v>0</v>
      </c>
      <c r="H38" s="39" t="s">
        <v>0</v>
      </c>
      <c r="I38" s="39"/>
      <c r="J38" s="39"/>
      <c r="K38" s="39">
        <f t="shared" si="9"/>
        <v>0</v>
      </c>
      <c r="L38">
        <v>4.83</v>
      </c>
    </row>
    <row r="39" spans="1:11">
      <c r="A39" s="39">
        <v>30</v>
      </c>
      <c r="B39" s="39" t="s">
        <v>352</v>
      </c>
      <c r="C39" s="41" t="s">
        <v>153</v>
      </c>
      <c r="D39" s="41" t="s">
        <v>121</v>
      </c>
      <c r="E39" s="39"/>
      <c r="F39" s="39">
        <f>SUM(F40:F41)</f>
        <v>0</v>
      </c>
      <c r="G39" s="39">
        <f>SUM(G40:G41)</f>
        <v>0</v>
      </c>
      <c r="H39" s="39"/>
      <c r="I39" s="39">
        <f>ROUND(F39*0.02,2)</f>
        <v>0</v>
      </c>
      <c r="J39" s="39">
        <f>ROUND(F39*0.05,2)</f>
        <v>0</v>
      </c>
      <c r="K39" s="39">
        <f t="shared" si="9"/>
        <v>0</v>
      </c>
    </row>
    <row r="40" spans="1:11">
      <c r="A40" s="39">
        <v>31</v>
      </c>
      <c r="B40" s="39"/>
      <c r="C40" s="41" t="s">
        <v>153</v>
      </c>
      <c r="D40" s="41" t="s">
        <v>168</v>
      </c>
      <c r="E40" s="40"/>
      <c r="F40" s="42">
        <f>E40*$L$10*0.95</f>
        <v>0</v>
      </c>
      <c r="G40" s="39" t="s">
        <v>0</v>
      </c>
      <c r="H40" s="39"/>
      <c r="I40" s="39">
        <f>ROUND(F40*0.02,2)</f>
        <v>0</v>
      </c>
      <c r="J40" s="39">
        <f>ROUND(F40*0.05,2)</f>
        <v>0</v>
      </c>
      <c r="K40" s="39">
        <f t="shared" si="9"/>
        <v>0</v>
      </c>
    </row>
    <row r="41" s="34" customFormat="1" spans="1:13">
      <c r="A41" s="39">
        <v>32</v>
      </c>
      <c r="B41" s="39"/>
      <c r="C41" s="41" t="s">
        <v>180</v>
      </c>
      <c r="D41" s="41" t="s">
        <v>179</v>
      </c>
      <c r="E41" s="40"/>
      <c r="F41" s="39" t="s">
        <v>0</v>
      </c>
      <c r="G41" s="42">
        <f>E41*M41*0.95</f>
        <v>0</v>
      </c>
      <c r="H41" s="39"/>
      <c r="I41" s="39"/>
      <c r="J41" s="39"/>
      <c r="K41" s="39">
        <f t="shared" si="9"/>
        <v>0</v>
      </c>
      <c r="L41" s="34">
        <v>5654.88</v>
      </c>
      <c r="M41" s="34">
        <v>3</v>
      </c>
    </row>
    <row r="42" spans="1:11">
      <c r="A42" s="39">
        <v>33</v>
      </c>
      <c r="B42" s="39" t="s">
        <v>353</v>
      </c>
      <c r="C42" s="41" t="s">
        <v>155</v>
      </c>
      <c r="D42" s="41" t="s">
        <v>121</v>
      </c>
      <c r="E42" s="39"/>
      <c r="F42" s="39">
        <f>SUM(F43:F44)</f>
        <v>0</v>
      </c>
      <c r="G42" s="39">
        <f>SUM(G43:G44)</f>
        <v>0</v>
      </c>
      <c r="H42" s="39"/>
      <c r="I42" s="39">
        <f t="shared" ref="I41:I43" si="10">ROUND(F42*0.02,2)</f>
        <v>0</v>
      </c>
      <c r="J42" s="39">
        <f t="shared" ref="J41:J43" si="11">ROUND(F42*0.05,2)</f>
        <v>0</v>
      </c>
      <c r="K42" s="39">
        <f t="shared" si="9"/>
        <v>0</v>
      </c>
    </row>
    <row r="43" spans="1:11">
      <c r="A43" s="39">
        <v>34</v>
      </c>
      <c r="B43" s="39"/>
      <c r="C43" s="41" t="s">
        <v>155</v>
      </c>
      <c r="D43" s="41" t="s">
        <v>168</v>
      </c>
      <c r="E43" s="40"/>
      <c r="F43" s="42">
        <f>E43*$L$10*0.95</f>
        <v>0</v>
      </c>
      <c r="G43" s="39" t="s">
        <v>0</v>
      </c>
      <c r="H43" s="39"/>
      <c r="I43" s="39">
        <f t="shared" si="10"/>
        <v>0</v>
      </c>
      <c r="J43" s="39">
        <f t="shared" si="11"/>
        <v>0</v>
      </c>
      <c r="K43" s="39">
        <f t="shared" si="9"/>
        <v>0</v>
      </c>
    </row>
    <row r="44" s="34" customFormat="1" spans="1:13">
      <c r="A44" s="39">
        <v>35</v>
      </c>
      <c r="B44" s="39"/>
      <c r="C44" s="41" t="s">
        <v>185</v>
      </c>
      <c r="D44" s="41" t="s">
        <v>179</v>
      </c>
      <c r="E44" s="40"/>
      <c r="F44" s="39" t="s">
        <v>0</v>
      </c>
      <c r="G44" s="42">
        <f>E44*M44*0.95</f>
        <v>0</v>
      </c>
      <c r="H44" s="39"/>
      <c r="I44" s="39"/>
      <c r="J44" s="39"/>
      <c r="K44" s="39">
        <f t="shared" si="9"/>
        <v>0</v>
      </c>
      <c r="L44" s="34">
        <v>166.32</v>
      </c>
      <c r="M44" s="34">
        <v>23.3</v>
      </c>
    </row>
    <row r="45" spans="1:11">
      <c r="A45" s="39">
        <v>36</v>
      </c>
      <c r="B45" s="39" t="s">
        <v>354</v>
      </c>
      <c r="C45" s="41" t="s">
        <v>158</v>
      </c>
      <c r="D45" s="41" t="s">
        <v>121</v>
      </c>
      <c r="E45" s="39"/>
      <c r="F45" s="39">
        <f>F46</f>
        <v>0</v>
      </c>
      <c r="G45" s="39" t="s">
        <v>0</v>
      </c>
      <c r="H45" s="39" t="s">
        <v>0</v>
      </c>
      <c r="I45" s="39">
        <f t="shared" ref="I45:I46" si="12">ROUND(F45*0.02,2)</f>
        <v>0</v>
      </c>
      <c r="J45" s="39">
        <f t="shared" ref="J45:J46" si="13">ROUND(F45*0.05,2)</f>
        <v>0</v>
      </c>
      <c r="K45" s="39">
        <f t="shared" si="9"/>
        <v>0</v>
      </c>
    </row>
    <row r="46" spans="1:12">
      <c r="A46" s="39">
        <v>37</v>
      </c>
      <c r="B46" s="39"/>
      <c r="C46" s="41" t="s">
        <v>158</v>
      </c>
      <c r="D46" s="41" t="s">
        <v>121</v>
      </c>
      <c r="E46" s="40"/>
      <c r="F46" s="42">
        <f>E46*L46*0.95</f>
        <v>0</v>
      </c>
      <c r="G46" s="39"/>
      <c r="H46" s="39"/>
      <c r="I46" s="39">
        <f t="shared" si="12"/>
        <v>0</v>
      </c>
      <c r="J46" s="39">
        <f t="shared" si="13"/>
        <v>0</v>
      </c>
      <c r="K46" s="39">
        <f t="shared" si="9"/>
        <v>0</v>
      </c>
      <c r="L46">
        <v>32</v>
      </c>
    </row>
    <row r="47" spans="1:11">
      <c r="A47" s="39">
        <v>38</v>
      </c>
      <c r="B47" s="39"/>
      <c r="C47" s="41" t="s">
        <v>186</v>
      </c>
      <c r="D47" s="41" t="s">
        <v>187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160</v>
      </c>
      <c r="C48" s="41" t="s">
        <v>161</v>
      </c>
      <c r="D48" s="41" t="s">
        <v>162</v>
      </c>
      <c r="E48" s="40">
        <v>0</v>
      </c>
      <c r="F48" s="42">
        <f>4265.82/39*E48*0.95</f>
        <v>0</v>
      </c>
      <c r="G48" s="39" t="s">
        <v>0</v>
      </c>
      <c r="H48" s="42">
        <f>11334.18/39*E48*0.95</f>
        <v>0</v>
      </c>
      <c r="I48" s="39">
        <f t="shared" ref="I48" si="14">ROUND(F48*0.02,2)</f>
        <v>0</v>
      </c>
      <c r="J48" s="39">
        <f t="shared" ref="J48" si="15">ROUND(F48*0.05,2)</f>
        <v>0</v>
      </c>
      <c r="K48" s="39">
        <f t="shared" ref="K47:K54" si="16">SUM(F48:J48)</f>
        <v>0</v>
      </c>
    </row>
    <row r="49" spans="1:11">
      <c r="A49" s="39">
        <v>40</v>
      </c>
      <c r="B49" s="39"/>
      <c r="C49" s="41" t="s">
        <v>188</v>
      </c>
      <c r="D49" s="41" t="s">
        <v>189</v>
      </c>
      <c r="E49" s="39"/>
      <c r="F49" s="39"/>
      <c r="G49" s="39"/>
      <c r="H49" s="42">
        <f>942.76/39*E48*0.95</f>
        <v>0</v>
      </c>
      <c r="I49" s="39"/>
      <c r="J49" s="39"/>
      <c r="K49" s="39">
        <f t="shared" si="16"/>
        <v>0</v>
      </c>
    </row>
    <row r="50" spans="1:11">
      <c r="A50" s="39">
        <v>41</v>
      </c>
      <c r="B50" s="39"/>
      <c r="C50" s="41" t="s">
        <v>190</v>
      </c>
      <c r="D50" s="41" t="s">
        <v>189</v>
      </c>
      <c r="E50" s="39"/>
      <c r="F50" s="39"/>
      <c r="G50" s="39"/>
      <c r="H50" s="42">
        <f>334.87/39*E48*0.95</f>
        <v>0</v>
      </c>
      <c r="I50" s="39"/>
      <c r="J50" s="39"/>
      <c r="K50" s="39">
        <f t="shared" si="16"/>
        <v>0</v>
      </c>
    </row>
    <row r="51" spans="1:11">
      <c r="A51" s="39">
        <v>42</v>
      </c>
      <c r="B51" s="39"/>
      <c r="C51" s="41" t="s">
        <v>191</v>
      </c>
      <c r="D51" s="41" t="s">
        <v>189</v>
      </c>
      <c r="E51" s="39"/>
      <c r="F51" s="39"/>
      <c r="G51" s="39"/>
      <c r="H51" s="42">
        <f>706.72/39*E48*0.95</f>
        <v>0</v>
      </c>
      <c r="I51" s="39"/>
      <c r="J51" s="39"/>
      <c r="K51" s="39">
        <f t="shared" si="16"/>
        <v>0</v>
      </c>
    </row>
    <row r="52" spans="1:11">
      <c r="A52" s="39">
        <v>43</v>
      </c>
      <c r="B52" s="39"/>
      <c r="C52" s="41" t="s">
        <v>192</v>
      </c>
      <c r="D52" s="41" t="s">
        <v>168</v>
      </c>
      <c r="E52" s="39"/>
      <c r="F52" s="42">
        <f>4265.82/39*E48*0.95</f>
        <v>0</v>
      </c>
      <c r="G52" s="39"/>
      <c r="H52" s="42"/>
      <c r="I52" s="39">
        <f>ROUND(F52*0.02,2)</f>
        <v>0</v>
      </c>
      <c r="J52" s="39">
        <f>ROUND(F52*0.05,2)</f>
        <v>0</v>
      </c>
      <c r="K52" s="39">
        <f t="shared" si="16"/>
        <v>0</v>
      </c>
    </row>
    <row r="53" spans="1:11">
      <c r="A53" s="39">
        <v>44</v>
      </c>
      <c r="B53" s="39"/>
      <c r="C53" s="41" t="s">
        <v>193</v>
      </c>
      <c r="D53" s="41" t="s">
        <v>194</v>
      </c>
      <c r="E53" s="39"/>
      <c r="F53" s="39"/>
      <c r="G53" s="39"/>
      <c r="H53" s="42">
        <f>9349.83/39*E48*0.95</f>
        <v>0</v>
      </c>
      <c r="I53" s="39"/>
      <c r="J53" s="39"/>
      <c r="K53" s="39">
        <f t="shared" si="16"/>
        <v>0</v>
      </c>
    </row>
    <row r="54" spans="1:13">
      <c r="A54" s="39" t="s">
        <v>9</v>
      </c>
      <c r="B54" s="39" t="s">
        <v>9</v>
      </c>
      <c r="C54" s="39" t="s">
        <v>163</v>
      </c>
      <c r="D54" s="39"/>
      <c r="E54" s="39"/>
      <c r="F54" s="39">
        <f>SUM(F8,F19,F26,F30,F35,F39,F42,F45,F48,)</f>
        <v>0</v>
      </c>
      <c r="G54" s="39">
        <f t="shared" ref="F54:J54" si="17">SUM(G8,G19,G26,G30,G35,G39,G42,G45,G48,)</f>
        <v>0</v>
      </c>
      <c r="H54" s="39">
        <f t="shared" si="17"/>
        <v>0</v>
      </c>
      <c r="I54" s="39">
        <f t="shared" si="17"/>
        <v>0</v>
      </c>
      <c r="J54" s="39">
        <f t="shared" si="17"/>
        <v>0</v>
      </c>
      <c r="K54" s="39">
        <f t="shared" si="16"/>
        <v>0</v>
      </c>
      <c r="M54" t="e">
        <f>ROUND(K54/E45,2)</f>
        <v>#DIV/0!</v>
      </c>
    </row>
    <row r="55" ht="118.2" customHeight="1"/>
    <row r="56" ht="14.4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305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3" t="s">
        <v>409</v>
      </c>
      <c r="K57" s="43" t="s">
        <v>0</v>
      </c>
    </row>
    <row r="58" spans="1:11">
      <c r="A58" s="38" t="s">
        <v>130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343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132</v>
      </c>
      <c r="K59" s="13" t="s">
        <v>0</v>
      </c>
    </row>
    <row r="60" spans="1:11">
      <c r="A60" s="20" t="s">
        <v>133</v>
      </c>
      <c r="B60" s="20" t="s">
        <v>0</v>
      </c>
      <c r="C60" s="13" t="s">
        <v>410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tr">
        <f>"工程数量"&amp;$E$75&amp;"亩 "</f>
        <v>工程数量0亩 </v>
      </c>
      <c r="K60" s="13" t="s">
        <v>0</v>
      </c>
    </row>
    <row r="61" spans="1:11">
      <c r="A61" s="20" t="s">
        <v>135</v>
      </c>
      <c r="B61" s="20" t="s">
        <v>0</v>
      </c>
      <c r="C61" s="13" t="s">
        <v>357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32</v>
      </c>
      <c r="B62" s="39" t="s">
        <v>137</v>
      </c>
      <c r="C62" s="39" t="s">
        <v>138</v>
      </c>
      <c r="D62" s="39" t="s">
        <v>110</v>
      </c>
      <c r="E62" s="39" t="s">
        <v>139</v>
      </c>
      <c r="F62" s="39" t="s">
        <v>406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141</v>
      </c>
    </row>
    <row r="64" spans="1:11">
      <c r="A64" s="39" t="s">
        <v>53</v>
      </c>
      <c r="B64" s="39" t="s">
        <v>358</v>
      </c>
      <c r="C64" s="39" t="s">
        <v>347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316</v>
      </c>
      <c r="D65" s="39" t="s">
        <v>168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167</v>
      </c>
      <c r="D66" s="39" t="s">
        <v>168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317</v>
      </c>
      <c r="D67" s="39" t="s">
        <v>168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318</v>
      </c>
      <c r="D68" s="39" t="s">
        <v>168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319</v>
      </c>
      <c r="D69" s="39" t="s">
        <v>168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320</v>
      </c>
      <c r="D70" s="39" t="s">
        <v>168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156</v>
      </c>
      <c r="B71" s="39"/>
      <c r="C71" s="39" t="s">
        <v>321</v>
      </c>
      <c r="D71" s="39" t="s">
        <v>168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159</v>
      </c>
      <c r="B72" s="39"/>
      <c r="C72" s="39" t="s">
        <v>322</v>
      </c>
      <c r="D72" s="39" t="s">
        <v>168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276</v>
      </c>
      <c r="B73" s="39"/>
      <c r="C73" s="39" t="s">
        <v>169</v>
      </c>
      <c r="D73" s="39" t="s">
        <v>168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278</v>
      </c>
      <c r="B74" s="39"/>
      <c r="C74" s="39" t="s">
        <v>170</v>
      </c>
      <c r="D74" s="39" t="s">
        <v>168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280</v>
      </c>
      <c r="B75" s="39" t="s">
        <v>359</v>
      </c>
      <c r="C75" s="39" t="s">
        <v>145</v>
      </c>
      <c r="D75" s="39" t="s">
        <v>121</v>
      </c>
      <c r="E75" s="39">
        <v>0</v>
      </c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282</v>
      </c>
      <c r="B76" s="39"/>
      <c r="C76" s="39" t="s">
        <v>171</v>
      </c>
      <c r="D76" s="39" t="s">
        <v>168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284</v>
      </c>
      <c r="B77" s="39"/>
      <c r="C77" s="39" t="s">
        <v>172</v>
      </c>
      <c r="D77" s="39" t="s">
        <v>168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286</v>
      </c>
      <c r="B78" s="39"/>
      <c r="C78" s="39" t="s">
        <v>173</v>
      </c>
      <c r="D78" s="39" t="s">
        <v>168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289</v>
      </c>
      <c r="B79" s="39"/>
      <c r="C79" s="39" t="s">
        <v>407</v>
      </c>
      <c r="D79" s="39" t="s">
        <v>175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291</v>
      </c>
      <c r="B80" s="39"/>
      <c r="C80" s="39" t="s">
        <v>176</v>
      </c>
      <c r="D80" s="39" t="s">
        <v>175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294</v>
      </c>
      <c r="B81" s="39"/>
      <c r="C81" s="39" t="s">
        <v>177</v>
      </c>
      <c r="D81" s="39" t="s">
        <v>168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360</v>
      </c>
      <c r="C82" s="39" t="s">
        <v>147</v>
      </c>
      <c r="D82" s="39" t="s">
        <v>121</v>
      </c>
      <c r="E82" s="39"/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147</v>
      </c>
      <c r="D83" s="39" t="s">
        <v>168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178</v>
      </c>
      <c r="D84" s="39" t="s">
        <v>179</v>
      </c>
      <c r="E84" s="40"/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180</v>
      </c>
      <c r="D85" s="39" t="s">
        <v>179</v>
      </c>
      <c r="E85" s="40"/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361</v>
      </c>
      <c r="C86" s="39" t="s">
        <v>149</v>
      </c>
      <c r="D86" s="39" t="s">
        <v>121</v>
      </c>
      <c r="E86" s="39"/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181</v>
      </c>
      <c r="D87" s="39" t="s">
        <v>168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182</v>
      </c>
      <c r="D88" s="39" t="s">
        <v>183</v>
      </c>
      <c r="E88" s="39"/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305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3" t="s">
        <v>411</v>
      </c>
      <c r="K89" s="43" t="s">
        <v>0</v>
      </c>
    </row>
    <row r="90" spans="1:11">
      <c r="A90" s="38" t="s">
        <v>130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362</v>
      </c>
      <c r="C91" s="39" t="s">
        <v>151</v>
      </c>
      <c r="D91" s="39" t="s">
        <v>121</v>
      </c>
      <c r="E91" s="39"/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151</v>
      </c>
      <c r="D92" s="39" t="s">
        <v>168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407</v>
      </c>
      <c r="D93" s="39" t="s">
        <v>175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176</v>
      </c>
      <c r="D94" s="39" t="s">
        <v>175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363</v>
      </c>
      <c r="C95" s="39" t="s">
        <v>153</v>
      </c>
      <c r="D95" s="39" t="s">
        <v>121</v>
      </c>
      <c r="E95" s="39"/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153</v>
      </c>
      <c r="D96" s="39" t="s">
        <v>168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180</v>
      </c>
      <c r="D97" s="39" t="s">
        <v>179</v>
      </c>
      <c r="E97" s="40"/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364</v>
      </c>
      <c r="C98" s="39" t="s">
        <v>155</v>
      </c>
      <c r="D98" s="39" t="s">
        <v>121</v>
      </c>
      <c r="E98" s="39"/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155</v>
      </c>
      <c r="D99" s="39" t="s">
        <v>168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185</v>
      </c>
      <c r="D100" s="39" t="s">
        <v>179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365</v>
      </c>
      <c r="C101" s="39" t="s">
        <v>158</v>
      </c>
      <c r="D101" s="39" t="s">
        <v>121</v>
      </c>
      <c r="E101" s="39"/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158</v>
      </c>
      <c r="D102" s="39" t="s">
        <v>121</v>
      </c>
      <c r="E102" s="40"/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186</v>
      </c>
      <c r="D103" s="39" t="s">
        <v>187</v>
      </c>
      <c r="E103" s="39"/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160</v>
      </c>
      <c r="C104" s="39" t="s">
        <v>161</v>
      </c>
      <c r="D104" s="39" t="s">
        <v>162</v>
      </c>
      <c r="E104" s="40">
        <v>0</v>
      </c>
      <c r="F104" s="42">
        <f>48127.2/440*E104*0.95</f>
        <v>0</v>
      </c>
      <c r="G104" s="39" t="s">
        <v>0</v>
      </c>
      <c r="H104" s="42">
        <f>127872.8/440*E104*0.95</f>
        <v>0</v>
      </c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188</v>
      </c>
      <c r="D105" s="39" t="s">
        <v>189</v>
      </c>
      <c r="E105" s="39"/>
      <c r="F105" s="39"/>
      <c r="G105" s="39"/>
      <c r="H105" s="42">
        <f>10636.27/440*E104*0.95</f>
        <v>0</v>
      </c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190</v>
      </c>
      <c r="D106" s="39" t="s">
        <v>189</v>
      </c>
      <c r="E106" s="39"/>
      <c r="F106" s="39"/>
      <c r="G106" s="39"/>
      <c r="H106" s="42">
        <f>3778.04/440*E104*0.95</f>
        <v>0</v>
      </c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191</v>
      </c>
      <c r="D107" s="39" t="s">
        <v>189</v>
      </c>
      <c r="E107" s="39"/>
      <c r="F107" s="39"/>
      <c r="G107" s="39"/>
      <c r="H107" s="42">
        <f>7973.2/440*E104*0.95</f>
        <v>0</v>
      </c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192</v>
      </c>
      <c r="D108" s="39" t="s">
        <v>168</v>
      </c>
      <c r="E108" s="39"/>
      <c r="F108" s="42">
        <f>48127.2/440*E104*0.95</f>
        <v>0</v>
      </c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193</v>
      </c>
      <c r="D109" s="39" t="s">
        <v>194</v>
      </c>
      <c r="E109" s="39"/>
      <c r="F109" s="39"/>
      <c r="G109" s="39"/>
      <c r="H109" s="42">
        <f>105485.29/440*E104*0.95</f>
        <v>0</v>
      </c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163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5" spans="1:11">
      <c r="A113" s="36" t="s">
        <v>0</v>
      </c>
      <c r="B113" s="36" t="s">
        <v>0</v>
      </c>
      <c r="C113" s="37" t="s">
        <v>305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3" t="s">
        <v>412</v>
      </c>
      <c r="K113" s="43" t="s">
        <v>0</v>
      </c>
    </row>
    <row r="114" spans="1:11">
      <c r="A114" s="38" t="s">
        <v>130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343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132</v>
      </c>
      <c r="K115" s="13" t="s">
        <v>0</v>
      </c>
    </row>
    <row r="116" spans="1:11">
      <c r="A116" s="20" t="s">
        <v>133</v>
      </c>
      <c r="B116" s="20" t="s">
        <v>0</v>
      </c>
      <c r="C116" s="13" t="s">
        <v>413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tr">
        <f>"工程数量"&amp;E131&amp;"亩 "</f>
        <v>工程数量4260.5亩 </v>
      </c>
      <c r="K116" s="13" t="s">
        <v>0</v>
      </c>
    </row>
    <row r="117" spans="1:11">
      <c r="A117" s="20" t="s">
        <v>135</v>
      </c>
      <c r="B117" s="20" t="s">
        <v>0</v>
      </c>
      <c r="C117" s="13" t="s">
        <v>414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综合单价：1469.9元 </v>
      </c>
      <c r="K117" s="13" t="s">
        <v>0</v>
      </c>
    </row>
    <row r="118" spans="1:11">
      <c r="A118" s="39" t="s">
        <v>32</v>
      </c>
      <c r="B118" s="39" t="s">
        <v>137</v>
      </c>
      <c r="C118" s="39" t="s">
        <v>138</v>
      </c>
      <c r="D118" s="39" t="s">
        <v>110</v>
      </c>
      <c r="E118" s="39" t="s">
        <v>139</v>
      </c>
      <c r="F118" s="39" t="s">
        <v>406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141</v>
      </c>
    </row>
    <row r="120" spans="1:11">
      <c r="A120" s="39" t="s">
        <v>53</v>
      </c>
      <c r="B120" s="39" t="s">
        <v>369</v>
      </c>
      <c r="C120" s="39" t="s">
        <v>347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316</v>
      </c>
      <c r="D121" s="39" t="s">
        <v>168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167</v>
      </c>
      <c r="D122" s="39" t="s">
        <v>168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317</v>
      </c>
      <c r="D123" s="39" t="s">
        <v>168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318</v>
      </c>
      <c r="D124" s="39" t="s">
        <v>168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319</v>
      </c>
      <c r="D125" s="39" t="s">
        <v>168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320</v>
      </c>
      <c r="D126" s="39" t="s">
        <v>168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156</v>
      </c>
      <c r="B127" s="39"/>
      <c r="C127" s="39" t="s">
        <v>321</v>
      </c>
      <c r="D127" s="39" t="s">
        <v>168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159</v>
      </c>
      <c r="B128" s="39"/>
      <c r="C128" s="39" t="s">
        <v>322</v>
      </c>
      <c r="D128" s="39" t="s">
        <v>168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276</v>
      </c>
      <c r="B129" s="39"/>
      <c r="C129" s="39" t="s">
        <v>169</v>
      </c>
      <c r="D129" s="39" t="s">
        <v>168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278</v>
      </c>
      <c r="B130" s="39"/>
      <c r="C130" s="39" t="s">
        <v>170</v>
      </c>
      <c r="D130" s="39" t="s">
        <v>168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280</v>
      </c>
      <c r="B131" s="39" t="s">
        <v>370</v>
      </c>
      <c r="C131" s="39" t="s">
        <v>145</v>
      </c>
      <c r="D131" s="39" t="s">
        <v>121</v>
      </c>
      <c r="E131" s="39">
        <v>4260.5</v>
      </c>
      <c r="F131" s="39">
        <f>SUM(F132:F137)</f>
        <v>1228729.088</v>
      </c>
      <c r="G131" s="39">
        <f>SUM(G132:G137)</f>
        <v>530707.221</v>
      </c>
      <c r="H131" s="39"/>
      <c r="I131" s="39">
        <f t="shared" ref="I130:I134" si="49">ROUND(F131*0.02,2)</f>
        <v>24574.58</v>
      </c>
      <c r="J131" s="39">
        <f t="shared" ref="J130:J134" si="50">ROUND(F131*0.05,2)</f>
        <v>61436.45</v>
      </c>
      <c r="K131" s="39">
        <f t="shared" ref="K131:K143" si="51">SUM(F131:J131)</f>
        <v>1845447.339</v>
      </c>
    </row>
    <row r="132" spans="1:11">
      <c r="A132" s="39" t="s">
        <v>282</v>
      </c>
      <c r="B132" s="39"/>
      <c r="C132" s="39" t="s">
        <v>171</v>
      </c>
      <c r="D132" s="39" t="s">
        <v>168</v>
      </c>
      <c r="E132" s="40">
        <v>314.29</v>
      </c>
      <c r="F132" s="42">
        <f>E132*$L$10*0.95</f>
        <v>38217.664</v>
      </c>
      <c r="G132" s="39" t="s">
        <v>0</v>
      </c>
      <c r="H132" s="39"/>
      <c r="I132" s="39">
        <f t="shared" si="49"/>
        <v>764.35</v>
      </c>
      <c r="J132" s="39">
        <f t="shared" si="50"/>
        <v>1910.88</v>
      </c>
      <c r="K132" s="39">
        <f t="shared" si="51"/>
        <v>40892.894</v>
      </c>
    </row>
    <row r="133" spans="1:11">
      <c r="A133" s="39" t="s">
        <v>284</v>
      </c>
      <c r="B133" s="39"/>
      <c r="C133" s="39" t="s">
        <v>172</v>
      </c>
      <c r="D133" s="39" t="s">
        <v>168</v>
      </c>
      <c r="E133" s="40">
        <v>4993.48</v>
      </c>
      <c r="F133" s="42">
        <f>E133*$L$10*0.95</f>
        <v>607207.168</v>
      </c>
      <c r="G133" s="39" t="s">
        <v>0</v>
      </c>
      <c r="H133" s="39"/>
      <c r="I133" s="39">
        <f t="shared" si="49"/>
        <v>12144.14</v>
      </c>
      <c r="J133" s="39">
        <f t="shared" si="50"/>
        <v>30360.36</v>
      </c>
      <c r="K133" s="39">
        <f t="shared" si="51"/>
        <v>649711.668</v>
      </c>
    </row>
    <row r="134" spans="1:11">
      <c r="A134" s="39" t="s">
        <v>286</v>
      </c>
      <c r="B134" s="39"/>
      <c r="C134" s="39" t="s">
        <v>173</v>
      </c>
      <c r="D134" s="39" t="s">
        <v>168</v>
      </c>
      <c r="E134" s="40">
        <v>2641.32</v>
      </c>
      <c r="F134" s="42">
        <f>E134*$L$10*0.95</f>
        <v>321184.512</v>
      </c>
      <c r="G134" s="39" t="s">
        <v>0</v>
      </c>
      <c r="H134" s="39"/>
      <c r="I134" s="39">
        <f t="shared" si="49"/>
        <v>6423.69</v>
      </c>
      <c r="J134" s="39">
        <f t="shared" si="50"/>
        <v>16059.23</v>
      </c>
      <c r="K134" s="39">
        <f t="shared" si="51"/>
        <v>343667.432</v>
      </c>
    </row>
    <row r="135" spans="1:12">
      <c r="A135" s="39" t="s">
        <v>289</v>
      </c>
      <c r="B135" s="39"/>
      <c r="C135" s="39" t="s">
        <v>407</v>
      </c>
      <c r="D135" s="39" t="s">
        <v>175</v>
      </c>
      <c r="E135" s="40">
        <f>132066*0.6</f>
        <v>79239.6</v>
      </c>
      <c r="F135" s="39" t="s">
        <v>0</v>
      </c>
      <c r="G135" s="42">
        <f>E135*L135*0.95</f>
        <v>288313.2846</v>
      </c>
      <c r="H135" s="39"/>
      <c r="I135" s="39"/>
      <c r="J135" s="39"/>
      <c r="K135" s="39">
        <f t="shared" si="51"/>
        <v>288313.2846</v>
      </c>
      <c r="L135">
        <v>3.83</v>
      </c>
    </row>
    <row r="136" spans="1:12">
      <c r="A136" s="39" t="s">
        <v>291</v>
      </c>
      <c r="B136" s="39"/>
      <c r="C136" s="39" t="s">
        <v>176</v>
      </c>
      <c r="D136" s="39" t="s">
        <v>175</v>
      </c>
      <c r="E136" s="40">
        <f>132066*0.4</f>
        <v>52826.4</v>
      </c>
      <c r="F136" s="39" t="s">
        <v>0</v>
      </c>
      <c r="G136" s="42">
        <f>E136*L136*0.95</f>
        <v>242393.9364</v>
      </c>
      <c r="H136" s="39" t="s">
        <v>0</v>
      </c>
      <c r="I136" s="39"/>
      <c r="J136" s="39"/>
      <c r="K136" s="39">
        <f t="shared" si="51"/>
        <v>242393.9364</v>
      </c>
      <c r="L136">
        <v>4.83</v>
      </c>
    </row>
    <row r="137" spans="1:11">
      <c r="A137" s="39" t="s">
        <v>294</v>
      </c>
      <c r="B137" s="39"/>
      <c r="C137" s="39" t="s">
        <v>177</v>
      </c>
      <c r="D137" s="39" t="s">
        <v>168</v>
      </c>
      <c r="E137" s="40">
        <v>2155.59</v>
      </c>
      <c r="F137" s="42">
        <f>E137*$L$10*0.95</f>
        <v>262119.744</v>
      </c>
      <c r="G137" s="39" t="s">
        <v>0</v>
      </c>
      <c r="H137" s="39"/>
      <c r="I137" s="39">
        <f>ROUND(F137*0.02,2)</f>
        <v>5242.39</v>
      </c>
      <c r="J137" s="39">
        <f>ROUND(F137*0.05,2)</f>
        <v>13105.99</v>
      </c>
      <c r="K137" s="39">
        <f t="shared" si="51"/>
        <v>280468.124</v>
      </c>
    </row>
    <row r="138" spans="1:11">
      <c r="A138" s="39">
        <v>19</v>
      </c>
      <c r="B138" s="39" t="s">
        <v>371</v>
      </c>
      <c r="C138" s="39" t="s">
        <v>147</v>
      </c>
      <c r="D138" s="39" t="s">
        <v>121</v>
      </c>
      <c r="E138" s="39">
        <v>4260.5</v>
      </c>
      <c r="F138" s="39">
        <f>SUM(F139:F141)</f>
        <v>153961.408</v>
      </c>
      <c r="G138" s="39">
        <f>SUM(G139:G141)</f>
        <v>514397.07</v>
      </c>
      <c r="H138" s="39" t="s">
        <v>0</v>
      </c>
      <c r="I138" s="39">
        <f t="shared" ref="I138:I139" si="52">ROUND(F138*0.02,2)</f>
        <v>3079.23</v>
      </c>
      <c r="J138" s="39">
        <f t="shared" ref="J138:J139" si="53">ROUND(F138*0.05,2)</f>
        <v>7698.07</v>
      </c>
      <c r="K138" s="39">
        <f t="shared" si="51"/>
        <v>679135.778</v>
      </c>
    </row>
    <row r="139" spans="1:11">
      <c r="A139" s="39">
        <v>20</v>
      </c>
      <c r="B139" s="39"/>
      <c r="C139" s="39" t="s">
        <v>147</v>
      </c>
      <c r="D139" s="39" t="s">
        <v>168</v>
      </c>
      <c r="E139" s="40">
        <v>1266.13</v>
      </c>
      <c r="F139" s="42">
        <f>E139*$L$10*0.95</f>
        <v>153961.408</v>
      </c>
      <c r="G139" s="39" t="s">
        <v>0</v>
      </c>
      <c r="H139" s="39"/>
      <c r="I139" s="39">
        <f t="shared" si="52"/>
        <v>3079.23</v>
      </c>
      <c r="J139" s="39">
        <f t="shared" si="53"/>
        <v>7698.07</v>
      </c>
      <c r="K139" s="39">
        <f t="shared" si="51"/>
        <v>164738.708</v>
      </c>
    </row>
    <row r="140" s="34" customFormat="1" spans="1:12">
      <c r="A140" s="39">
        <v>21</v>
      </c>
      <c r="B140" s="39"/>
      <c r="C140" s="39" t="s">
        <v>178</v>
      </c>
      <c r="D140" s="39" t="s">
        <v>179</v>
      </c>
      <c r="E140" s="44">
        <f>+E135*3+E136*5</f>
        <v>501850.8</v>
      </c>
      <c r="F140" s="39" t="s">
        <v>0</v>
      </c>
      <c r="G140" s="42">
        <f>E140*0.95</f>
        <v>476758.26</v>
      </c>
      <c r="H140" s="39"/>
      <c r="I140" s="39"/>
      <c r="J140" s="39"/>
      <c r="K140" s="39">
        <f t="shared" si="51"/>
        <v>476758.26</v>
      </c>
      <c r="L140" s="34">
        <v>1677690.88</v>
      </c>
    </row>
    <row r="141" s="34" customFormat="1" spans="1:13">
      <c r="A141" s="39">
        <v>22</v>
      </c>
      <c r="B141" s="39"/>
      <c r="C141" s="39" t="s">
        <v>180</v>
      </c>
      <c r="D141" s="39" t="s">
        <v>179</v>
      </c>
      <c r="E141" s="44">
        <f>+E136*0.25</f>
        <v>13206.6</v>
      </c>
      <c r="F141" s="39" t="s">
        <v>0</v>
      </c>
      <c r="G141" s="42">
        <f>E141*M141*0.95</f>
        <v>37638.81</v>
      </c>
      <c r="H141" s="39"/>
      <c r="I141" s="39"/>
      <c r="J141" s="39"/>
      <c r="K141" s="39">
        <f t="shared" si="51"/>
        <v>37638.81</v>
      </c>
      <c r="L141" s="34">
        <v>44149.76</v>
      </c>
      <c r="M141" s="34">
        <v>3</v>
      </c>
    </row>
    <row r="142" spans="1:11">
      <c r="A142" s="39">
        <v>23</v>
      </c>
      <c r="B142" s="39" t="s">
        <v>372</v>
      </c>
      <c r="C142" s="39" t="s">
        <v>149</v>
      </c>
      <c r="D142" s="39" t="s">
        <v>121</v>
      </c>
      <c r="E142" s="39">
        <v>4260.5</v>
      </c>
      <c r="F142" s="39">
        <f>SUM(F143:F144)</f>
        <v>715172.16</v>
      </c>
      <c r="G142" s="39"/>
      <c r="H142" s="39"/>
      <c r="I142" s="39">
        <f t="shared" ref="I142" si="54">ROUND(F142*0.02,2)</f>
        <v>14303.44</v>
      </c>
      <c r="J142" s="39">
        <f t="shared" ref="J142" si="55">ROUND(F142*0.05,2)</f>
        <v>35758.61</v>
      </c>
      <c r="K142" s="39">
        <f t="shared" ref="K142:K154" si="56">SUM(F142:J142)</f>
        <v>765234.21</v>
      </c>
    </row>
    <row r="143" spans="1:11">
      <c r="A143" s="39">
        <v>24</v>
      </c>
      <c r="B143" s="39"/>
      <c r="C143" s="39" t="s">
        <v>181</v>
      </c>
      <c r="D143" s="39" t="s">
        <v>168</v>
      </c>
      <c r="E143" s="40">
        <v>5881.35</v>
      </c>
      <c r="F143" s="42">
        <f>E143*$L$10*0.95</f>
        <v>715172.16</v>
      </c>
      <c r="G143" s="39"/>
      <c r="H143" s="39" t="s">
        <v>0</v>
      </c>
      <c r="I143" s="39">
        <f t="shared" ref="I143" si="57">ROUND(F143*0.02,2)</f>
        <v>14303.44</v>
      </c>
      <c r="J143" s="39">
        <f t="shared" ref="J143" si="58">ROUND(F143*0.05,2)</f>
        <v>35758.61</v>
      </c>
      <c r="K143" s="39">
        <f t="shared" si="56"/>
        <v>765234.21</v>
      </c>
    </row>
    <row r="144" spans="1:11">
      <c r="A144" s="39">
        <v>25</v>
      </c>
      <c r="B144" s="39"/>
      <c r="C144" s="39" t="s">
        <v>182</v>
      </c>
      <c r="D144" s="39" t="s">
        <v>183</v>
      </c>
      <c r="E144" s="39">
        <v>3</v>
      </c>
      <c r="F144" s="39"/>
      <c r="G144" s="39"/>
      <c r="H144" s="39"/>
      <c r="I144" s="39"/>
      <c r="J144" s="39"/>
      <c r="K144" s="39"/>
    </row>
    <row r="145" ht="17.5" spans="1:11">
      <c r="A145" s="36" t="s">
        <v>0</v>
      </c>
      <c r="B145" s="36" t="s">
        <v>0</v>
      </c>
      <c r="C145" s="37" t="s">
        <v>305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3" t="s">
        <v>415</v>
      </c>
      <c r="K145" s="43" t="s">
        <v>0</v>
      </c>
    </row>
    <row r="146" spans="1:11">
      <c r="A146" s="38" t="s">
        <v>130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373</v>
      </c>
      <c r="C147" s="39" t="s">
        <v>151</v>
      </c>
      <c r="D147" s="39" t="s">
        <v>121</v>
      </c>
      <c r="E147" s="39">
        <v>4260.5</v>
      </c>
      <c r="F147" s="39">
        <f>SUM(F148:F150)</f>
        <v>48231.424</v>
      </c>
      <c r="G147" s="39">
        <f>SUM(G148:G150)</f>
        <v>77530.13004</v>
      </c>
      <c r="H147" s="39"/>
      <c r="I147" s="39">
        <f t="shared" ref="I147:I151" si="59">ROUND(F147*0.02,2)</f>
        <v>964.63</v>
      </c>
      <c r="J147" s="39">
        <f t="shared" ref="J147:J151" si="60">ROUND(F147*0.05,2)</f>
        <v>2411.57</v>
      </c>
      <c r="K147" s="39">
        <f t="shared" si="56"/>
        <v>129137.75404</v>
      </c>
    </row>
    <row r="148" spans="1:11">
      <c r="A148" s="39">
        <v>27</v>
      </c>
      <c r="B148" s="39"/>
      <c r="C148" s="39" t="s">
        <v>151</v>
      </c>
      <c r="D148" s="39" t="s">
        <v>168</v>
      </c>
      <c r="E148" s="40">
        <v>396.64</v>
      </c>
      <c r="F148" s="42">
        <f>E148*$L$10*0.95</f>
        <v>48231.424</v>
      </c>
      <c r="G148" s="39" t="s">
        <v>0</v>
      </c>
      <c r="H148" s="39"/>
      <c r="I148" s="39">
        <f t="shared" si="59"/>
        <v>964.63</v>
      </c>
      <c r="J148" s="39">
        <f t="shared" si="60"/>
        <v>2411.57</v>
      </c>
      <c r="K148" s="39">
        <f t="shared" si="56"/>
        <v>51607.624</v>
      </c>
    </row>
    <row r="149" spans="1:12">
      <c r="A149" s="39">
        <v>28</v>
      </c>
      <c r="B149" s="39"/>
      <c r="C149" s="39" t="s">
        <v>407</v>
      </c>
      <c r="D149" s="39" t="s">
        <v>175</v>
      </c>
      <c r="E149" s="40">
        <f>19832*0.6</f>
        <v>11899.2</v>
      </c>
      <c r="F149" s="39" t="s">
        <v>0</v>
      </c>
      <c r="G149" s="42">
        <f>E149*L149*0.95*0.95</f>
        <v>41130.47724</v>
      </c>
      <c r="H149" s="39"/>
      <c r="I149" s="39"/>
      <c r="J149" s="39"/>
      <c r="K149" s="39">
        <f t="shared" si="56"/>
        <v>41130.47724</v>
      </c>
      <c r="L149">
        <v>3.83</v>
      </c>
    </row>
    <row r="150" spans="1:12">
      <c r="A150" s="39">
        <v>29</v>
      </c>
      <c r="B150" s="39"/>
      <c r="C150" s="39" t="s">
        <v>176</v>
      </c>
      <c r="D150" s="39" t="s">
        <v>175</v>
      </c>
      <c r="E150" s="40">
        <f>19832*0.4</f>
        <v>7932.8</v>
      </c>
      <c r="F150" s="39" t="s">
        <v>0</v>
      </c>
      <c r="G150" s="42">
        <f>E150*L150*0.95</f>
        <v>36399.6528</v>
      </c>
      <c r="H150" s="39" t="s">
        <v>0</v>
      </c>
      <c r="I150" s="39"/>
      <c r="J150" s="39"/>
      <c r="K150" s="39">
        <f t="shared" si="56"/>
        <v>36399.6528</v>
      </c>
      <c r="L150">
        <v>4.83</v>
      </c>
    </row>
    <row r="151" spans="1:11">
      <c r="A151" s="39">
        <v>30</v>
      </c>
      <c r="B151" s="39" t="s">
        <v>374</v>
      </c>
      <c r="C151" s="39" t="s">
        <v>153</v>
      </c>
      <c r="D151" s="39" t="s">
        <v>121</v>
      </c>
      <c r="E151" s="39">
        <v>4260.5</v>
      </c>
      <c r="F151" s="39">
        <f>SUM(F152:F153)</f>
        <v>461868.416</v>
      </c>
      <c r="G151" s="39">
        <f>SUM(G152:G153)</f>
        <v>883134.972</v>
      </c>
      <c r="H151" s="39"/>
      <c r="I151" s="39">
        <f t="shared" si="59"/>
        <v>9237.37</v>
      </c>
      <c r="J151" s="39">
        <f t="shared" si="60"/>
        <v>23093.42</v>
      </c>
      <c r="K151" s="39">
        <f t="shared" si="56"/>
        <v>1377334.178</v>
      </c>
    </row>
    <row r="152" spans="1:11">
      <c r="A152" s="39">
        <v>31</v>
      </c>
      <c r="B152" s="39"/>
      <c r="C152" s="39" t="s">
        <v>153</v>
      </c>
      <c r="D152" s="39" t="s">
        <v>168</v>
      </c>
      <c r="E152" s="40">
        <v>3798.26</v>
      </c>
      <c r="F152" s="42">
        <f>E152*$L$10*0.95</f>
        <v>461868.416</v>
      </c>
      <c r="G152" s="39" t="s">
        <v>0</v>
      </c>
      <c r="H152" s="39"/>
      <c r="I152" s="39">
        <f t="shared" ref="I152" si="61">ROUND(F152*0.02,2)</f>
        <v>9237.37</v>
      </c>
      <c r="J152" s="39">
        <f t="shared" ref="J152" si="62">ROUND(F152*0.05,2)</f>
        <v>23093.42</v>
      </c>
      <c r="K152" s="39">
        <f t="shared" si="56"/>
        <v>494199.206</v>
      </c>
    </row>
    <row r="153" s="34" customFormat="1" spans="1:13">
      <c r="A153" s="39">
        <v>32</v>
      </c>
      <c r="B153" s="39"/>
      <c r="C153" s="39" t="s">
        <v>180</v>
      </c>
      <c r="D153" s="39" t="s">
        <v>179</v>
      </c>
      <c r="E153" s="40">
        <f>+(E135+E149)*3+(E136+E150)*0.6</f>
        <v>309871.92</v>
      </c>
      <c r="F153" s="39" t="s">
        <v>0</v>
      </c>
      <c r="G153" s="42">
        <f>E153*M153*0.95</f>
        <v>883134.972</v>
      </c>
      <c r="H153" s="39"/>
      <c r="I153" s="39"/>
      <c r="J153" s="39"/>
      <c r="K153" s="39">
        <f t="shared" si="56"/>
        <v>883134.972</v>
      </c>
      <c r="L153" s="34">
        <v>900655.104</v>
      </c>
      <c r="M153" s="34">
        <v>3</v>
      </c>
    </row>
    <row r="154" spans="1:11">
      <c r="A154" s="39">
        <v>33</v>
      </c>
      <c r="B154" s="39" t="s">
        <v>375</v>
      </c>
      <c r="C154" s="39" t="s">
        <v>155</v>
      </c>
      <c r="D154" s="39" t="s">
        <v>121</v>
      </c>
      <c r="E154" s="39">
        <v>4260.5</v>
      </c>
      <c r="F154" s="39">
        <f>SUM(F155:F156)</f>
        <v>352858.88</v>
      </c>
      <c r="G154" s="39">
        <f>SUM(G155:G156)</f>
        <v>201849.065</v>
      </c>
      <c r="H154" s="39"/>
      <c r="I154" s="39">
        <f t="shared" ref="I153:I155" si="63">ROUND(F154*0.02,2)</f>
        <v>7057.18</v>
      </c>
      <c r="J154" s="39">
        <f t="shared" ref="J153:J155" si="64">ROUND(F154*0.05,2)</f>
        <v>17642.94</v>
      </c>
      <c r="K154" s="39">
        <f t="shared" si="56"/>
        <v>579408.065</v>
      </c>
    </row>
    <row r="155" spans="1:11">
      <c r="A155" s="39">
        <v>34</v>
      </c>
      <c r="B155" s="39"/>
      <c r="C155" s="39" t="s">
        <v>155</v>
      </c>
      <c r="D155" s="39" t="s">
        <v>168</v>
      </c>
      <c r="E155" s="40">
        <v>2901.8</v>
      </c>
      <c r="F155" s="42">
        <f>E155*$L$10*0.95</f>
        <v>352858.88</v>
      </c>
      <c r="G155" s="39" t="s">
        <v>0</v>
      </c>
      <c r="H155" s="39"/>
      <c r="I155" s="39">
        <f t="shared" si="63"/>
        <v>7057.18</v>
      </c>
      <c r="J155" s="39">
        <f t="shared" si="64"/>
        <v>17642.94</v>
      </c>
      <c r="K155" s="39">
        <f t="shared" ref="K155:K166" si="65">SUM(F155:J155)</f>
        <v>377559</v>
      </c>
    </row>
    <row r="156" s="34" customFormat="1" spans="1:13">
      <c r="A156" s="39">
        <v>35</v>
      </c>
      <c r="B156" s="39"/>
      <c r="C156" s="39" t="s">
        <v>185</v>
      </c>
      <c r="D156" s="39" t="s">
        <v>179</v>
      </c>
      <c r="E156" s="40">
        <v>9119</v>
      </c>
      <c r="F156" s="39" t="s">
        <v>0</v>
      </c>
      <c r="G156" s="42">
        <f>E156*M156*0.95</f>
        <v>201849.065</v>
      </c>
      <c r="H156" s="39"/>
      <c r="I156" s="39"/>
      <c r="J156" s="39"/>
      <c r="K156" s="39">
        <f t="shared" si="65"/>
        <v>201849.065</v>
      </c>
      <c r="L156" s="34">
        <v>26489.856</v>
      </c>
      <c r="M156" s="34">
        <v>23.3</v>
      </c>
    </row>
    <row r="157" spans="1:11">
      <c r="A157" s="39">
        <v>36</v>
      </c>
      <c r="B157" s="39" t="s">
        <v>376</v>
      </c>
      <c r="C157" s="39" t="s">
        <v>158</v>
      </c>
      <c r="D157" s="39" t="s">
        <v>121</v>
      </c>
      <c r="E157" s="39">
        <v>4260.5</v>
      </c>
      <c r="F157" s="39">
        <f>SUM(F158:F159)</f>
        <v>129519.2</v>
      </c>
      <c r="G157" s="39" t="s">
        <v>0</v>
      </c>
      <c r="H157" s="39" t="s">
        <v>0</v>
      </c>
      <c r="I157" s="39">
        <f t="shared" ref="I157:I158" si="66">ROUND(F157*0.02,2)</f>
        <v>2590.38</v>
      </c>
      <c r="J157" s="39">
        <f t="shared" ref="J157:J158" si="67">ROUND(F157*0.05,2)</f>
        <v>6475.96</v>
      </c>
      <c r="K157" s="39">
        <f t="shared" si="65"/>
        <v>138585.54</v>
      </c>
    </row>
    <row r="158" spans="1:12">
      <c r="A158" s="39">
        <v>37</v>
      </c>
      <c r="B158" s="39"/>
      <c r="C158" s="39" t="s">
        <v>158</v>
      </c>
      <c r="D158" s="39" t="s">
        <v>121</v>
      </c>
      <c r="E158" s="39">
        <v>4260.5</v>
      </c>
      <c r="F158" s="42">
        <f>E158*L158*0.95</f>
        <v>129519.2</v>
      </c>
      <c r="G158" s="39"/>
      <c r="H158" s="39"/>
      <c r="I158" s="39">
        <f t="shared" si="66"/>
        <v>2590.38</v>
      </c>
      <c r="J158" s="39">
        <f t="shared" si="67"/>
        <v>6475.96</v>
      </c>
      <c r="K158" s="39">
        <f t="shared" si="65"/>
        <v>138585.54</v>
      </c>
      <c r="L158">
        <v>32</v>
      </c>
    </row>
    <row r="159" spans="1:11">
      <c r="A159" s="39">
        <v>38</v>
      </c>
      <c r="B159" s="39"/>
      <c r="C159" s="39" t="s">
        <v>186</v>
      </c>
      <c r="D159" s="39" t="s">
        <v>187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160</v>
      </c>
      <c r="C160" s="39" t="s">
        <v>161</v>
      </c>
      <c r="D160" s="39" t="s">
        <v>162</v>
      </c>
      <c r="E160" s="40">
        <v>1932</v>
      </c>
      <c r="F160" s="42">
        <f>683734.38/6251*E160*0.95</f>
        <v>200756.052</v>
      </c>
      <c r="G160" s="39" t="s">
        <v>0</v>
      </c>
      <c r="H160" s="42">
        <f>1816665.62/6251*E160*0.95</f>
        <v>533403.948</v>
      </c>
      <c r="I160" s="39">
        <f t="shared" ref="I160" si="68">ROUND(F160*0.02,2)</f>
        <v>4015.12</v>
      </c>
      <c r="J160" s="39">
        <f t="shared" ref="J160" si="69">ROUND(F160*0.05,2)</f>
        <v>10037.8</v>
      </c>
      <c r="K160" s="39">
        <f t="shared" si="65"/>
        <v>748212.92</v>
      </c>
    </row>
    <row r="161" spans="1:11">
      <c r="A161" s="39">
        <v>40</v>
      </c>
      <c r="B161" s="39"/>
      <c r="C161" s="39" t="s">
        <v>188</v>
      </c>
      <c r="D161" s="39" t="s">
        <v>189</v>
      </c>
      <c r="E161" s="39"/>
      <c r="F161" s="39"/>
      <c r="G161" s="39"/>
      <c r="H161" s="42">
        <f>151107.62/6251*E160*0.95</f>
        <v>44367.7692765957</v>
      </c>
      <c r="I161" s="39"/>
      <c r="J161" s="39"/>
      <c r="K161" s="39">
        <f t="shared" si="65"/>
        <v>44367.7692765957</v>
      </c>
    </row>
    <row r="162" spans="1:11">
      <c r="A162" s="39">
        <v>41</v>
      </c>
      <c r="B162" s="39"/>
      <c r="C162" s="39" t="s">
        <v>190</v>
      </c>
      <c r="D162" s="39" t="s">
        <v>189</v>
      </c>
      <c r="E162" s="39"/>
      <c r="F162" s="39"/>
      <c r="G162" s="39"/>
      <c r="H162" s="42">
        <f>53673.97/6251*E160*0.95</f>
        <v>15759.5911914894</v>
      </c>
      <c r="I162" s="39"/>
      <c r="J162" s="39"/>
      <c r="K162" s="39">
        <f t="shared" si="65"/>
        <v>15759.5911914894</v>
      </c>
    </row>
    <row r="163" spans="1:11">
      <c r="A163" s="39">
        <v>42</v>
      </c>
      <c r="B163" s="39"/>
      <c r="C163" s="39" t="s">
        <v>191</v>
      </c>
      <c r="D163" s="39" t="s">
        <v>189</v>
      </c>
      <c r="E163" s="39"/>
      <c r="F163" s="39"/>
      <c r="G163" s="39"/>
      <c r="H163" s="42">
        <f>113273.73/6251*E160*0.95</f>
        <v>33259.0951914894</v>
      </c>
      <c r="I163" s="39"/>
      <c r="J163" s="39"/>
      <c r="K163" s="39">
        <f t="shared" si="65"/>
        <v>33259.0951914894</v>
      </c>
    </row>
    <row r="164" spans="1:11">
      <c r="A164" s="39">
        <v>43</v>
      </c>
      <c r="B164" s="39"/>
      <c r="C164" s="39" t="s">
        <v>192</v>
      </c>
      <c r="D164" s="39" t="s">
        <v>168</v>
      </c>
      <c r="E164" s="39"/>
      <c r="F164" s="42">
        <f>683734.38/6251*E160*0.95</f>
        <v>200756.052</v>
      </c>
      <c r="G164" s="39"/>
      <c r="H164" s="42"/>
      <c r="I164" s="39">
        <f>ROUND(F164*0.02,2)</f>
        <v>4015.12</v>
      </c>
      <c r="J164" s="39">
        <f>ROUND(F164*0.05,2)</f>
        <v>10037.8</v>
      </c>
      <c r="K164" s="39">
        <f t="shared" si="65"/>
        <v>214808.972</v>
      </c>
    </row>
    <row r="165" spans="1:11">
      <c r="A165" s="39">
        <v>44</v>
      </c>
      <c r="B165" s="39"/>
      <c r="C165" s="39" t="s">
        <v>193</v>
      </c>
      <c r="D165" s="39" t="s">
        <v>194</v>
      </c>
      <c r="E165" s="39"/>
      <c r="F165" s="39"/>
      <c r="G165" s="39"/>
      <c r="H165" s="42">
        <f>1498610.3/6251*E160*0.95</f>
        <v>440017.492340426</v>
      </c>
      <c r="I165" s="39"/>
      <c r="J165" s="39"/>
      <c r="K165" s="39">
        <f t="shared" si="65"/>
        <v>440017.492340426</v>
      </c>
    </row>
    <row r="166" spans="1:13">
      <c r="A166" s="39" t="s">
        <v>9</v>
      </c>
      <c r="B166" s="39" t="s">
        <v>9</v>
      </c>
      <c r="C166" s="39" t="s">
        <v>163</v>
      </c>
      <c r="D166" s="39"/>
      <c r="E166" s="39"/>
      <c r="F166" s="45">
        <f>SUM(F120,F131,F138,F142,F147,F151,F154,F157,F160,)</f>
        <v>3291096.628</v>
      </c>
      <c r="G166" s="45">
        <f t="shared" ref="F166:J166" si="70">SUM(G120,G131,G138,G142,G147,G151,G154,G157,G160,)</f>
        <v>2207618.45804</v>
      </c>
      <c r="H166" s="45">
        <f t="shared" si="70"/>
        <v>533403.948</v>
      </c>
      <c r="I166" s="45">
        <f t="shared" si="70"/>
        <v>65821.93</v>
      </c>
      <c r="J166" s="45">
        <f t="shared" si="70"/>
        <v>164554.82</v>
      </c>
      <c r="K166" s="39">
        <f t="shared" si="65"/>
        <v>6262495.78404</v>
      </c>
      <c r="M166">
        <f>ROUND(K166/E157,2)</f>
        <v>1469.9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305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3" t="s">
        <v>416</v>
      </c>
      <c r="K169" s="43" t="s">
        <v>0</v>
      </c>
    </row>
    <row r="170" spans="1:11">
      <c r="A170" s="38" t="s">
        <v>130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343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132</v>
      </c>
      <c r="K171" s="13" t="s">
        <v>0</v>
      </c>
    </row>
    <row r="172" spans="1:11">
      <c r="A172" s="20" t="s">
        <v>133</v>
      </c>
      <c r="B172" s="20" t="s">
        <v>0</v>
      </c>
      <c r="C172" s="13" t="s">
        <v>378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tr">
        <f>"工程数量"&amp;E187&amp;"亩 "</f>
        <v>工程数量0亩 </v>
      </c>
      <c r="K172" s="13"/>
    </row>
    <row r="173" spans="1:11">
      <c r="A173" s="20" t="s">
        <v>135</v>
      </c>
      <c r="B173" s="20" t="s">
        <v>0</v>
      </c>
      <c r="C173" s="13" t="s">
        <v>417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32</v>
      </c>
      <c r="B174" s="39" t="s">
        <v>137</v>
      </c>
      <c r="C174" s="39" t="s">
        <v>138</v>
      </c>
      <c r="D174" s="39" t="s">
        <v>110</v>
      </c>
      <c r="E174" s="39" t="s">
        <v>139</v>
      </c>
      <c r="F174" s="39" t="s">
        <v>406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141</v>
      </c>
    </row>
    <row r="176" spans="1:11">
      <c r="A176" s="39" t="s">
        <v>53</v>
      </c>
      <c r="B176" s="39" t="s">
        <v>380</v>
      </c>
      <c r="C176" s="39" t="s">
        <v>347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316</v>
      </c>
      <c r="D177" s="39" t="s">
        <v>168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167</v>
      </c>
      <c r="D178" s="39" t="s">
        <v>168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317</v>
      </c>
      <c r="D179" s="39" t="s">
        <v>168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318</v>
      </c>
      <c r="D180" s="39" t="s">
        <v>168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319</v>
      </c>
      <c r="D181" s="39" t="s">
        <v>168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320</v>
      </c>
      <c r="D182" s="39" t="s">
        <v>168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156</v>
      </c>
      <c r="B183" s="39"/>
      <c r="C183" s="39" t="s">
        <v>321</v>
      </c>
      <c r="D183" s="39" t="s">
        <v>168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159</v>
      </c>
      <c r="B184" s="39"/>
      <c r="C184" s="39" t="s">
        <v>322</v>
      </c>
      <c r="D184" s="39" t="s">
        <v>168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276</v>
      </c>
      <c r="B185" s="39"/>
      <c r="C185" s="39" t="s">
        <v>169</v>
      </c>
      <c r="D185" s="39" t="s">
        <v>168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278</v>
      </c>
      <c r="B186" s="39"/>
      <c r="C186" s="39" t="s">
        <v>170</v>
      </c>
      <c r="D186" s="39" t="s">
        <v>168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280</v>
      </c>
      <c r="B187" s="39" t="s">
        <v>381</v>
      </c>
      <c r="C187" s="39" t="s">
        <v>145</v>
      </c>
      <c r="D187" s="39" t="s">
        <v>121</v>
      </c>
      <c r="E187" s="39">
        <v>0</v>
      </c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282</v>
      </c>
      <c r="B188" s="39"/>
      <c r="C188" s="39" t="s">
        <v>171</v>
      </c>
      <c r="D188" s="39" t="s">
        <v>168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284</v>
      </c>
      <c r="B189" s="39"/>
      <c r="C189" s="39" t="s">
        <v>172</v>
      </c>
      <c r="D189" s="39" t="s">
        <v>168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286</v>
      </c>
      <c r="B190" s="39"/>
      <c r="C190" s="39" t="s">
        <v>173</v>
      </c>
      <c r="D190" s="39" t="s">
        <v>168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289</v>
      </c>
      <c r="B191" s="39"/>
      <c r="C191" s="39" t="s">
        <v>407</v>
      </c>
      <c r="D191" s="39" t="s">
        <v>175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291</v>
      </c>
      <c r="B192" s="39"/>
      <c r="C192" s="39" t="s">
        <v>176</v>
      </c>
      <c r="D192" s="39" t="s">
        <v>175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294</v>
      </c>
      <c r="B193" s="39"/>
      <c r="C193" s="39" t="s">
        <v>177</v>
      </c>
      <c r="D193" s="39" t="s">
        <v>168</v>
      </c>
      <c r="E193" s="40"/>
      <c r="F193" s="42">
        <f>E193*$L$10*0.95</f>
        <v>0</v>
      </c>
      <c r="G193" s="39" t="s">
        <v>0</v>
      </c>
      <c r="H193" s="39"/>
      <c r="I193" s="46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382</v>
      </c>
      <c r="C194" s="39" t="s">
        <v>147</v>
      </c>
      <c r="D194" s="39" t="s">
        <v>121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147</v>
      </c>
      <c r="D195" s="39" t="s">
        <v>168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178</v>
      </c>
      <c r="D196" s="39" t="s">
        <v>179</v>
      </c>
      <c r="E196" s="40"/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180</v>
      </c>
      <c r="D197" s="39" t="s">
        <v>179</v>
      </c>
      <c r="E197" s="40"/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383</v>
      </c>
      <c r="C198" s="39" t="s">
        <v>149</v>
      </c>
      <c r="D198" s="39" t="s">
        <v>121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181</v>
      </c>
      <c r="D199" s="39" t="s">
        <v>168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182</v>
      </c>
      <c r="D200" s="39" t="s">
        <v>183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305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3" t="s">
        <v>418</v>
      </c>
      <c r="K201" s="43" t="s">
        <v>0</v>
      </c>
    </row>
    <row r="202" spans="1:11">
      <c r="A202" s="38" t="s">
        <v>130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384</v>
      </c>
      <c r="C203" s="39" t="s">
        <v>151</v>
      </c>
      <c r="D203" s="39" t="s">
        <v>121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151</v>
      </c>
      <c r="D204" s="39" t="s">
        <v>168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407</v>
      </c>
      <c r="D205" s="39" t="s">
        <v>175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176</v>
      </c>
      <c r="D206" s="39" t="s">
        <v>175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385</v>
      </c>
      <c r="C207" s="39" t="s">
        <v>153</v>
      </c>
      <c r="D207" s="39" t="s">
        <v>121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153</v>
      </c>
      <c r="D208" s="39" t="s">
        <v>168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180</v>
      </c>
      <c r="D209" s="39" t="s">
        <v>179</v>
      </c>
      <c r="E209" s="40"/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386</v>
      </c>
      <c r="C210" s="39" t="s">
        <v>155</v>
      </c>
      <c r="D210" s="39" t="s">
        <v>121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155</v>
      </c>
      <c r="D211" s="39" t="s">
        <v>168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185</v>
      </c>
      <c r="D212" s="39" t="s">
        <v>179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387</v>
      </c>
      <c r="C213" s="39" t="s">
        <v>158</v>
      </c>
      <c r="D213" s="39" t="s">
        <v>121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158</v>
      </c>
      <c r="D214" s="39" t="s">
        <v>121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186</v>
      </c>
      <c r="D215" s="39" t="s">
        <v>187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160</v>
      </c>
      <c r="C216" s="39" t="s">
        <v>161</v>
      </c>
      <c r="D216" s="39" t="s">
        <v>162</v>
      </c>
      <c r="E216" s="40">
        <v>0</v>
      </c>
      <c r="F216" s="42">
        <f>4156.44/38*E216*0.95</f>
        <v>0</v>
      </c>
      <c r="G216" s="39" t="s">
        <v>0</v>
      </c>
      <c r="H216" s="42">
        <f>11043.56/38*E216*0.95</f>
        <v>0</v>
      </c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188</v>
      </c>
      <c r="D217" s="39" t="s">
        <v>189</v>
      </c>
      <c r="E217" s="39"/>
      <c r="F217" s="39"/>
      <c r="G217" s="39"/>
      <c r="H217" s="42">
        <f>918.59/38*E216*0.95</f>
        <v>0</v>
      </c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190</v>
      </c>
      <c r="D218" s="39" t="s">
        <v>189</v>
      </c>
      <c r="E218" s="39"/>
      <c r="F218" s="39"/>
      <c r="G218" s="39"/>
      <c r="H218" s="42">
        <f>326.29/38*E216*0.95</f>
        <v>0</v>
      </c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191</v>
      </c>
      <c r="D219" s="39" t="s">
        <v>189</v>
      </c>
      <c r="E219" s="39"/>
      <c r="F219" s="39"/>
      <c r="G219" s="39"/>
      <c r="H219" s="42">
        <f>688.59/38*E216*0.95</f>
        <v>0</v>
      </c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192</v>
      </c>
      <c r="D220" s="39" t="s">
        <v>168</v>
      </c>
      <c r="E220" s="39"/>
      <c r="F220" s="42">
        <f>4156.44/38*E216*0.95</f>
        <v>0</v>
      </c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193</v>
      </c>
      <c r="D221" s="39" t="s">
        <v>194</v>
      </c>
      <c r="E221" s="39"/>
      <c r="F221" s="39"/>
      <c r="G221" s="39"/>
      <c r="H221" s="42">
        <f>9110.09/38*E216*0.95</f>
        <v>0</v>
      </c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163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305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419</v>
      </c>
      <c r="K279" s="56" t="s">
        <v>0</v>
      </c>
    </row>
    <row r="280" s="35" customFormat="1" hidden="1" spans="1:11">
      <c r="A280" s="49" t="s">
        <v>130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t="14.4" hidden="1" customHeight="1" spans="1:11">
      <c r="A281" s="50" t="s">
        <v>24</v>
      </c>
      <c r="B281" s="50" t="s">
        <v>0</v>
      </c>
      <c r="C281" s="51" t="s">
        <v>389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132</v>
      </c>
      <c r="K281" s="51" t="s">
        <v>0</v>
      </c>
    </row>
    <row r="282" s="35" customFormat="1" ht="14.4" hidden="1" customHeight="1" spans="1:11">
      <c r="A282" s="50" t="s">
        <v>133</v>
      </c>
      <c r="B282" s="50" t="s">
        <v>0</v>
      </c>
      <c r="C282" s="51" t="s">
        <v>390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t="14.4" hidden="1" customHeight="1" spans="1:11">
      <c r="A283" s="50" t="s">
        <v>135</v>
      </c>
      <c r="B283" s="50" t="s">
        <v>0</v>
      </c>
      <c r="C283" s="51" t="s">
        <v>391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137</v>
      </c>
      <c r="C284" s="52" t="s">
        <v>138</v>
      </c>
      <c r="D284" s="52" t="s">
        <v>110</v>
      </c>
      <c r="E284" s="52" t="s">
        <v>139</v>
      </c>
      <c r="F284" s="52" t="s">
        <v>140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141</v>
      </c>
    </row>
    <row r="286" s="35" customFormat="1" hidden="1" spans="1:11">
      <c r="A286" s="52" t="s">
        <v>53</v>
      </c>
      <c r="B286" s="52" t="s">
        <v>392</v>
      </c>
      <c r="C286" s="52" t="s">
        <v>393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9</v>
      </c>
      <c r="J286" s="52" t="s">
        <v>9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420</v>
      </c>
      <c r="D287" s="52" t="s">
        <v>168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421</v>
      </c>
      <c r="D288" s="52" t="s">
        <v>168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9</v>
      </c>
      <c r="C289" s="54" t="s">
        <v>422</v>
      </c>
      <c r="D289" s="52" t="s">
        <v>168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9</v>
      </c>
      <c r="H289" s="52" t="s">
        <v>9</v>
      </c>
      <c r="I289" s="52" t="s">
        <v>9</v>
      </c>
      <c r="J289" s="52" t="s">
        <v>9</v>
      </c>
      <c r="K289" s="52" t="s">
        <v>9</v>
      </c>
    </row>
    <row r="290" s="35" customFormat="1" hidden="1" spans="1:11">
      <c r="A290" s="52" t="s">
        <v>75</v>
      </c>
      <c r="B290" s="52" t="s">
        <v>9</v>
      </c>
      <c r="C290" s="54" t="s">
        <v>423</v>
      </c>
      <c r="D290" s="52" t="s">
        <v>168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9</v>
      </c>
      <c r="H290" s="52" t="s">
        <v>9</v>
      </c>
      <c r="I290" s="52" t="s">
        <v>9</v>
      </c>
      <c r="J290" s="52" t="s">
        <v>9</v>
      </c>
      <c r="K290" s="52" t="s">
        <v>9</v>
      </c>
    </row>
    <row r="291" s="35" customFormat="1" hidden="1" spans="1:11">
      <c r="A291" s="52" t="s">
        <v>77</v>
      </c>
      <c r="B291" s="52" t="s">
        <v>9</v>
      </c>
      <c r="C291" s="54" t="s">
        <v>424</v>
      </c>
      <c r="D291" s="52" t="s">
        <v>168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9</v>
      </c>
      <c r="H291" s="52" t="s">
        <v>9</v>
      </c>
      <c r="I291" s="52" t="s">
        <v>9</v>
      </c>
      <c r="J291" s="52" t="s">
        <v>9</v>
      </c>
      <c r="K291" s="52" t="s">
        <v>9</v>
      </c>
    </row>
    <row r="292" s="35" customFormat="1" hidden="1" spans="1:11">
      <c r="A292" s="52" t="s">
        <v>81</v>
      </c>
      <c r="B292" s="52" t="s">
        <v>9</v>
      </c>
      <c r="C292" s="54" t="s">
        <v>425</v>
      </c>
      <c r="D292" s="52" t="s">
        <v>168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9</v>
      </c>
      <c r="H292" s="52" t="s">
        <v>9</v>
      </c>
      <c r="I292" s="52" t="s">
        <v>9</v>
      </c>
      <c r="J292" s="52" t="s">
        <v>9</v>
      </c>
      <c r="K292" s="52" t="s">
        <v>9</v>
      </c>
    </row>
    <row r="293" s="35" customFormat="1" hidden="1" spans="1:11">
      <c r="A293" s="52" t="s">
        <v>156</v>
      </c>
      <c r="B293" s="52" t="s">
        <v>9</v>
      </c>
      <c r="C293" s="54" t="s">
        <v>426</v>
      </c>
      <c r="D293" s="52" t="s">
        <v>168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9</v>
      </c>
      <c r="H293" s="52" t="s">
        <v>9</v>
      </c>
      <c r="I293" s="52" t="s">
        <v>9</v>
      </c>
      <c r="J293" s="52" t="s">
        <v>9</v>
      </c>
      <c r="K293" s="52" t="s">
        <v>9</v>
      </c>
    </row>
    <row r="294" s="35" customFormat="1" hidden="1" spans="1:11">
      <c r="A294" s="52" t="s">
        <v>159</v>
      </c>
      <c r="B294" s="52" t="s">
        <v>394</v>
      </c>
      <c r="C294" s="54" t="s">
        <v>151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9</v>
      </c>
      <c r="J294" s="52" t="s">
        <v>9</v>
      </c>
      <c r="K294" s="52">
        <f>SUM(F294:J294)</f>
        <v>0</v>
      </c>
    </row>
    <row r="295" s="35" customFormat="1" hidden="1" spans="1:11">
      <c r="A295" s="52" t="s">
        <v>276</v>
      </c>
      <c r="B295" s="52" t="s">
        <v>9</v>
      </c>
      <c r="C295" s="54" t="s">
        <v>427</v>
      </c>
      <c r="D295" s="52" t="s">
        <v>168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9</v>
      </c>
      <c r="H295" s="52" t="s">
        <v>9</v>
      </c>
      <c r="I295" s="52" t="s">
        <v>9</v>
      </c>
      <c r="J295" s="52" t="s">
        <v>9</v>
      </c>
      <c r="K295" s="52" t="s">
        <v>9</v>
      </c>
    </row>
    <row r="296" s="35" customFormat="1" hidden="1" spans="1:11">
      <c r="A296" s="52" t="s">
        <v>278</v>
      </c>
      <c r="B296" s="52" t="s">
        <v>9</v>
      </c>
      <c r="C296" s="54" t="s">
        <v>428</v>
      </c>
      <c r="D296" s="52" t="s">
        <v>168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9</v>
      </c>
      <c r="H296" s="52" t="s">
        <v>9</v>
      </c>
      <c r="I296" s="52" t="s">
        <v>9</v>
      </c>
      <c r="J296" s="52" t="s">
        <v>9</v>
      </c>
      <c r="K296" s="52" t="s">
        <v>9</v>
      </c>
    </row>
    <row r="297" s="35" customFormat="1" hidden="1" spans="1:11">
      <c r="A297" s="52" t="s">
        <v>280</v>
      </c>
      <c r="B297" s="52" t="s">
        <v>9</v>
      </c>
      <c r="C297" s="54" t="s">
        <v>429</v>
      </c>
      <c r="D297" s="52" t="s">
        <v>168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9</v>
      </c>
      <c r="H297" s="52" t="s">
        <v>9</v>
      </c>
      <c r="I297" s="52" t="s">
        <v>9</v>
      </c>
      <c r="J297" s="52" t="s">
        <v>9</v>
      </c>
      <c r="K297" s="52" t="s">
        <v>9</v>
      </c>
    </row>
    <row r="298" s="35" customFormat="1" hidden="1" spans="1:11">
      <c r="A298" s="52" t="s">
        <v>282</v>
      </c>
      <c r="B298" s="52" t="s">
        <v>9</v>
      </c>
      <c r="C298" s="54" t="s">
        <v>430</v>
      </c>
      <c r="D298" s="52" t="s">
        <v>175</v>
      </c>
      <c r="E298" s="52">
        <f>ROUND(E294*'[1]附表C-2营造林技术经济指标表'!$N$16,2)</f>
        <v>0</v>
      </c>
      <c r="F298" s="53" t="s">
        <v>9</v>
      </c>
      <c r="G298" s="52" t="s">
        <v>9</v>
      </c>
      <c r="H298" s="52" t="s">
        <v>9</v>
      </c>
      <c r="I298" s="52" t="s">
        <v>9</v>
      </c>
      <c r="J298" s="52" t="s">
        <v>9</v>
      </c>
      <c r="K298" s="52" t="s">
        <v>9</v>
      </c>
    </row>
    <row r="299" s="35" customFormat="1" hidden="1" spans="1:11">
      <c r="A299" s="52" t="s">
        <v>284</v>
      </c>
      <c r="B299" s="52" t="s">
        <v>9</v>
      </c>
      <c r="C299" s="54" t="s">
        <v>431</v>
      </c>
      <c r="D299" s="52" t="s">
        <v>175</v>
      </c>
      <c r="E299" s="52">
        <f>ROUND(E294*'[1]附表C-2营造林技术经济指标表'!$N$17,2)</f>
        <v>0</v>
      </c>
      <c r="F299" s="53" t="s">
        <v>9</v>
      </c>
      <c r="G299" s="52" t="s">
        <v>9</v>
      </c>
      <c r="H299" s="52" t="s">
        <v>9</v>
      </c>
      <c r="I299" s="52" t="s">
        <v>9</v>
      </c>
      <c r="J299" s="52" t="s">
        <v>9</v>
      </c>
      <c r="K299" s="52" t="s">
        <v>9</v>
      </c>
    </row>
    <row r="300" s="35" customFormat="1" hidden="1" spans="1:11">
      <c r="A300" s="52" t="s">
        <v>286</v>
      </c>
      <c r="B300" s="52" t="s">
        <v>9</v>
      </c>
      <c r="C300" s="54" t="s">
        <v>432</v>
      </c>
      <c r="D300" s="52" t="s">
        <v>175</v>
      </c>
      <c r="E300" s="52">
        <f>E298+E299</f>
        <v>0</v>
      </c>
      <c r="F300" s="53" t="s">
        <v>9</v>
      </c>
      <c r="G300" s="52">
        <f>ROUND(E294*'[1]附表C-2营造林技术经济指标表'!$N$20,2)</f>
        <v>0</v>
      </c>
      <c r="H300" s="52" t="s">
        <v>9</v>
      </c>
      <c r="I300" s="52" t="s">
        <v>9</v>
      </c>
      <c r="J300" s="52" t="s">
        <v>9</v>
      </c>
      <c r="K300" s="52" t="s">
        <v>9</v>
      </c>
    </row>
    <row r="301" s="35" customFormat="1" hidden="1" spans="1:11">
      <c r="A301" s="52" t="s">
        <v>289</v>
      </c>
      <c r="B301" s="52" t="s">
        <v>9</v>
      </c>
      <c r="C301" s="54" t="s">
        <v>433</v>
      </c>
      <c r="D301" s="52" t="s">
        <v>168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9</v>
      </c>
      <c r="H301" s="52" t="s">
        <v>9</v>
      </c>
      <c r="I301" s="52" t="s">
        <v>9</v>
      </c>
      <c r="J301" s="52" t="s">
        <v>9</v>
      </c>
      <c r="K301" s="52" t="s">
        <v>9</v>
      </c>
    </row>
    <row r="302" s="35" customFormat="1" hidden="1" spans="1:11">
      <c r="A302" s="52" t="s">
        <v>291</v>
      </c>
      <c r="B302" s="52" t="s">
        <v>395</v>
      </c>
      <c r="C302" s="54" t="s">
        <v>147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9</v>
      </c>
      <c r="J302" s="52" t="s">
        <v>9</v>
      </c>
      <c r="K302" s="52">
        <f>SUM(F302:J302)</f>
        <v>0</v>
      </c>
    </row>
    <row r="303" s="35" customFormat="1" hidden="1" spans="1:11">
      <c r="A303" s="52" t="s">
        <v>294</v>
      </c>
      <c r="B303" s="52" t="s">
        <v>9</v>
      </c>
      <c r="C303" s="54" t="s">
        <v>434</v>
      </c>
      <c r="D303" s="52" t="s">
        <v>179</v>
      </c>
      <c r="E303" s="52">
        <f>ROUND(E302*'[1]附表C-2营造林技术经济指标表'!$N$82*1000,2)</f>
        <v>0</v>
      </c>
      <c r="F303" s="53" t="s">
        <v>9</v>
      </c>
      <c r="G303" s="52">
        <f>ROUND(E302*'[1]附表C-2营造林技术经济指标表'!$N$84,2)</f>
        <v>0</v>
      </c>
      <c r="H303" s="52" t="s">
        <v>9</v>
      </c>
      <c r="I303" s="52" t="s">
        <v>9</v>
      </c>
      <c r="J303" s="52" t="s">
        <v>9</v>
      </c>
      <c r="K303" s="52" t="s">
        <v>9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t="14.4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305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435</v>
      </c>
      <c r="K306" s="56" t="s">
        <v>0</v>
      </c>
    </row>
    <row r="307" s="35" customFormat="1" hidden="1" spans="1:11">
      <c r="A307" s="52" t="s">
        <v>296</v>
      </c>
      <c r="B307" s="52" t="s">
        <v>9</v>
      </c>
      <c r="C307" s="52" t="s">
        <v>436</v>
      </c>
      <c r="D307" s="52" t="s">
        <v>179</v>
      </c>
      <c r="E307" s="52">
        <f>ROUND(E302*'[1]附表C-2营造林技术经济指标表'!$N$82*1000,2)</f>
        <v>0</v>
      </c>
      <c r="F307" s="53" t="s">
        <v>9</v>
      </c>
      <c r="G307" s="52" t="s">
        <v>9</v>
      </c>
      <c r="H307" s="52" t="s">
        <v>9</v>
      </c>
      <c r="I307" s="52" t="s">
        <v>9</v>
      </c>
      <c r="J307" s="52" t="s">
        <v>9</v>
      </c>
      <c r="K307" s="52" t="s">
        <v>9</v>
      </c>
    </row>
    <row r="308" s="35" customFormat="1" hidden="1" spans="1:11">
      <c r="A308" s="52" t="s">
        <v>298</v>
      </c>
      <c r="B308" s="52" t="s">
        <v>9</v>
      </c>
      <c r="C308" s="52" t="s">
        <v>437</v>
      </c>
      <c r="D308" s="52" t="s">
        <v>168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9</v>
      </c>
      <c r="H308" s="52" t="s">
        <v>9</v>
      </c>
      <c r="I308" s="52" t="s">
        <v>9</v>
      </c>
      <c r="J308" s="52" t="s">
        <v>9</v>
      </c>
      <c r="K308" s="52" t="s">
        <v>9</v>
      </c>
    </row>
    <row r="309" s="35" customFormat="1" hidden="1" spans="1:11">
      <c r="A309" s="52" t="s">
        <v>300</v>
      </c>
      <c r="B309" s="52" t="s">
        <v>396</v>
      </c>
      <c r="C309" s="52" t="s">
        <v>397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9</v>
      </c>
      <c r="J309" s="52" t="s">
        <v>9</v>
      </c>
      <c r="K309" s="52">
        <f>SUM(F309:J309)</f>
        <v>0</v>
      </c>
    </row>
    <row r="310" s="35" customFormat="1" hidden="1" spans="1:11">
      <c r="A310" s="52" t="s">
        <v>302</v>
      </c>
      <c r="B310" s="52" t="s">
        <v>9</v>
      </c>
      <c r="C310" s="52" t="s">
        <v>434</v>
      </c>
      <c r="D310" s="52" t="s">
        <v>179</v>
      </c>
      <c r="E310" s="52">
        <f>ROUND(E309*'[1]附表C-2营造林技术经济指标表'!$N$91,2)</f>
        <v>0</v>
      </c>
      <c r="F310" s="53" t="s">
        <v>9</v>
      </c>
      <c r="G310" s="52">
        <f>ROUND(E309*'[1]附表C-2营造林技术经济指标表'!$N$93,2)</f>
        <v>0</v>
      </c>
      <c r="H310" s="52" t="s">
        <v>9</v>
      </c>
      <c r="I310" s="52" t="s">
        <v>9</v>
      </c>
      <c r="J310" s="52" t="s">
        <v>9</v>
      </c>
      <c r="K310" s="52" t="s">
        <v>9</v>
      </c>
    </row>
    <row r="311" s="35" customFormat="1" hidden="1" spans="1:11">
      <c r="A311" s="52" t="s">
        <v>438</v>
      </c>
      <c r="B311" s="52" t="s">
        <v>9</v>
      </c>
      <c r="C311" s="52" t="s">
        <v>439</v>
      </c>
      <c r="D311" s="52" t="s">
        <v>179</v>
      </c>
      <c r="E311" s="52">
        <f>ROUND(E309*'[1]附表C-2营造林技术经济指标表'!$N$91,2)</f>
        <v>0</v>
      </c>
      <c r="F311" s="53" t="s">
        <v>9</v>
      </c>
      <c r="G311" s="52" t="s">
        <v>9</v>
      </c>
      <c r="H311" s="52" t="s">
        <v>9</v>
      </c>
      <c r="I311" s="52" t="s">
        <v>9</v>
      </c>
      <c r="J311" s="52" t="s">
        <v>9</v>
      </c>
      <c r="K311" s="52" t="s">
        <v>9</v>
      </c>
    </row>
    <row r="312" s="35" customFormat="1" hidden="1" spans="1:11">
      <c r="A312" s="52" t="s">
        <v>440</v>
      </c>
      <c r="B312" s="52" t="s">
        <v>9</v>
      </c>
      <c r="C312" s="52" t="s">
        <v>441</v>
      </c>
      <c r="D312" s="52" t="s">
        <v>442</v>
      </c>
      <c r="E312" s="52">
        <v>3</v>
      </c>
      <c r="F312" s="53" t="s">
        <v>9</v>
      </c>
      <c r="G312" s="52" t="s">
        <v>9</v>
      </c>
      <c r="H312" s="52" t="s">
        <v>9</v>
      </c>
      <c r="I312" s="52" t="s">
        <v>9</v>
      </c>
      <c r="J312" s="52" t="s">
        <v>9</v>
      </c>
      <c r="K312" s="52" t="s">
        <v>9</v>
      </c>
    </row>
    <row r="313" s="35" customFormat="1" hidden="1" spans="1:11">
      <c r="A313" s="52" t="s">
        <v>443</v>
      </c>
      <c r="B313" s="52" t="s">
        <v>9</v>
      </c>
      <c r="C313" s="52" t="s">
        <v>444</v>
      </c>
      <c r="D313" s="52" t="s">
        <v>168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9</v>
      </c>
      <c r="H313" s="52" t="s">
        <v>9</v>
      </c>
      <c r="I313" s="52" t="s">
        <v>9</v>
      </c>
      <c r="J313" s="52" t="s">
        <v>9</v>
      </c>
      <c r="K313" s="52" t="s">
        <v>9</v>
      </c>
    </row>
    <row r="314" s="35" customFormat="1" hidden="1" spans="1:11">
      <c r="A314" s="52" t="s">
        <v>445</v>
      </c>
      <c r="B314" s="52" t="s">
        <v>398</v>
      </c>
      <c r="C314" s="52" t="s">
        <v>155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9</v>
      </c>
      <c r="J314" s="52" t="s">
        <v>9</v>
      </c>
      <c r="K314" s="52">
        <f>SUM(F314:J314)</f>
        <v>0</v>
      </c>
    </row>
    <row r="315" s="35" customFormat="1" hidden="1" spans="1:11">
      <c r="A315" s="52" t="s">
        <v>446</v>
      </c>
      <c r="B315" s="52" t="s">
        <v>9</v>
      </c>
      <c r="C315" s="52" t="s">
        <v>447</v>
      </c>
      <c r="D315" s="52" t="s">
        <v>179</v>
      </c>
      <c r="E315" s="52">
        <f>ROUND(E314*'[1]附表C-2营造林技术经济指标表'!$N$156,2)</f>
        <v>0</v>
      </c>
      <c r="F315" s="53" t="s">
        <v>9</v>
      </c>
      <c r="G315" s="52" t="s">
        <v>9</v>
      </c>
      <c r="H315" s="52" t="s">
        <v>9</v>
      </c>
      <c r="I315" s="52" t="s">
        <v>9</v>
      </c>
      <c r="J315" s="52" t="s">
        <v>9</v>
      </c>
      <c r="K315" s="52" t="s">
        <v>9</v>
      </c>
    </row>
    <row r="316" s="35" customFormat="1" hidden="1" spans="1:11">
      <c r="A316" s="52" t="s">
        <v>448</v>
      </c>
      <c r="B316" s="52" t="s">
        <v>9</v>
      </c>
      <c r="C316" s="52" t="s">
        <v>449</v>
      </c>
      <c r="D316" s="52" t="s">
        <v>179</v>
      </c>
      <c r="E316" s="52">
        <f>ROUND(E314*'[1]附表C-2营造林技术经济指标表'!$N$156,2)</f>
        <v>0</v>
      </c>
      <c r="F316" s="53" t="s">
        <v>9</v>
      </c>
      <c r="G316" s="52">
        <f>ROUND(E314*'[1]附表C-2营造林技术经济指标表'!$N$158,2)</f>
        <v>0</v>
      </c>
      <c r="H316" s="52" t="s">
        <v>9</v>
      </c>
      <c r="I316" s="52" t="s">
        <v>9</v>
      </c>
      <c r="J316" s="52" t="s">
        <v>9</v>
      </c>
      <c r="K316" s="52" t="s">
        <v>9</v>
      </c>
    </row>
    <row r="317" s="35" customFormat="1" hidden="1" spans="1:11">
      <c r="A317" s="52" t="s">
        <v>450</v>
      </c>
      <c r="B317" s="52" t="s">
        <v>9</v>
      </c>
      <c r="C317" s="52" t="s">
        <v>451</v>
      </c>
      <c r="D317" s="52" t="s">
        <v>183</v>
      </c>
      <c r="E317" s="52" t="s">
        <v>9</v>
      </c>
      <c r="F317" s="53" t="s">
        <v>9</v>
      </c>
      <c r="G317" s="52" t="s">
        <v>9</v>
      </c>
      <c r="H317" s="52" t="s">
        <v>9</v>
      </c>
      <c r="I317" s="52" t="s">
        <v>9</v>
      </c>
      <c r="J317" s="52" t="s">
        <v>9</v>
      </c>
      <c r="K317" s="52" t="s">
        <v>9</v>
      </c>
    </row>
    <row r="318" s="35" customFormat="1" hidden="1" spans="1:11">
      <c r="A318" s="52" t="s">
        <v>452</v>
      </c>
      <c r="B318" s="52" t="s">
        <v>9</v>
      </c>
      <c r="C318" s="52" t="s">
        <v>453</v>
      </c>
      <c r="D318" s="52" t="s">
        <v>168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9</v>
      </c>
      <c r="H318" s="52" t="s">
        <v>9</v>
      </c>
      <c r="I318" s="52" t="s">
        <v>9</v>
      </c>
      <c r="J318" s="52" t="s">
        <v>9</v>
      </c>
      <c r="K318" s="52" t="s">
        <v>9</v>
      </c>
    </row>
    <row r="319" s="35" customFormat="1" hidden="1" spans="1:11">
      <c r="A319" s="52" t="s">
        <v>454</v>
      </c>
      <c r="B319" s="52" t="s">
        <v>399</v>
      </c>
      <c r="C319" s="52" t="s">
        <v>181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9</v>
      </c>
      <c r="J319" s="52" t="s">
        <v>9</v>
      </c>
      <c r="K319" s="52">
        <f>SUM(F319:J319)</f>
        <v>0</v>
      </c>
    </row>
    <row r="320" s="35" customFormat="1" hidden="1" spans="1:11">
      <c r="A320" s="52" t="s">
        <v>455</v>
      </c>
      <c r="B320" s="52" t="s">
        <v>9</v>
      </c>
      <c r="C320" s="52" t="s">
        <v>182</v>
      </c>
      <c r="D320" s="52" t="s">
        <v>442</v>
      </c>
      <c r="E320" s="52">
        <v>3</v>
      </c>
      <c r="F320" s="53" t="s">
        <v>9</v>
      </c>
      <c r="G320" s="52" t="s">
        <v>9</v>
      </c>
      <c r="H320" s="52" t="s">
        <v>9</v>
      </c>
      <c r="I320" s="52" t="s">
        <v>9</v>
      </c>
      <c r="J320" s="52" t="s">
        <v>9</v>
      </c>
      <c r="K320" s="52" t="s">
        <v>9</v>
      </c>
    </row>
    <row r="321" s="35" customFormat="1" hidden="1" spans="1:11">
      <c r="A321" s="52" t="s">
        <v>456</v>
      </c>
      <c r="B321" s="52" t="s">
        <v>9</v>
      </c>
      <c r="C321" s="52" t="s">
        <v>457</v>
      </c>
      <c r="D321" s="52" t="s">
        <v>168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9</v>
      </c>
      <c r="H321" s="52" t="s">
        <v>9</v>
      </c>
      <c r="I321" s="52" t="s">
        <v>9</v>
      </c>
      <c r="J321" s="52" t="s">
        <v>9</v>
      </c>
      <c r="K321" s="52" t="s">
        <v>9</v>
      </c>
    </row>
    <row r="322" s="35" customFormat="1" hidden="1" spans="1:11">
      <c r="A322" s="52" t="s">
        <v>458</v>
      </c>
      <c r="B322" s="52"/>
      <c r="C322" s="52" t="s">
        <v>459</v>
      </c>
      <c r="D322" s="52" t="s">
        <v>168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460</v>
      </c>
      <c r="B323" s="52"/>
      <c r="C323" s="52" t="s">
        <v>461</v>
      </c>
      <c r="D323" s="52" t="s">
        <v>168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462</v>
      </c>
      <c r="B324" s="52" t="s">
        <v>400</v>
      </c>
      <c r="C324" s="52" t="s">
        <v>401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463</v>
      </c>
      <c r="B325" s="52"/>
      <c r="C325" s="52" t="s">
        <v>464</v>
      </c>
      <c r="D325" s="52" t="s">
        <v>465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466</v>
      </c>
      <c r="B326" s="52" t="s">
        <v>402</v>
      </c>
      <c r="C326" s="52" t="s">
        <v>158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9</v>
      </c>
      <c r="J326" s="52" t="s">
        <v>9</v>
      </c>
      <c r="K326" s="52">
        <f>SUM(F326:J326)</f>
        <v>0</v>
      </c>
    </row>
    <row r="327" s="35" customFormat="1" hidden="1" spans="1:11">
      <c r="A327" s="52" t="s">
        <v>467</v>
      </c>
      <c r="B327" s="52" t="s">
        <v>9</v>
      </c>
      <c r="C327" s="52" t="s">
        <v>186</v>
      </c>
      <c r="D327" s="52" t="s">
        <v>468</v>
      </c>
      <c r="E327" s="52">
        <v>3</v>
      </c>
      <c r="F327" s="53" t="s">
        <v>9</v>
      </c>
      <c r="G327" s="52" t="s">
        <v>9</v>
      </c>
      <c r="H327" s="52" t="s">
        <v>9</v>
      </c>
      <c r="I327" s="52" t="s">
        <v>9</v>
      </c>
      <c r="J327" s="52" t="s">
        <v>9</v>
      </c>
      <c r="K327" s="52" t="s">
        <v>9</v>
      </c>
    </row>
    <row r="328" s="35" customFormat="1" hidden="1" spans="1:11">
      <c r="A328" s="52" t="s">
        <v>469</v>
      </c>
      <c r="B328" s="52" t="s">
        <v>9</v>
      </c>
      <c r="C328" s="52" t="s">
        <v>470</v>
      </c>
      <c r="D328" s="52" t="s">
        <v>471</v>
      </c>
      <c r="E328" s="52">
        <f>ROUND('[1]附表C-2营造林技术经济指标表'!$N$143/3*'[1]附表C-2营造林技术经济指标表'!$N$6,2)</f>
        <v>10.72</v>
      </c>
      <c r="F328" s="53" t="s">
        <v>9</v>
      </c>
      <c r="G328" s="52" t="s">
        <v>9</v>
      </c>
      <c r="H328" s="52" t="s">
        <v>9</v>
      </c>
      <c r="I328" s="52" t="s">
        <v>9</v>
      </c>
      <c r="J328" s="52" t="s">
        <v>9</v>
      </c>
      <c r="K328" s="52" t="s">
        <v>9</v>
      </c>
    </row>
    <row r="329" s="35" customFormat="1" hidden="1" spans="1:11">
      <c r="A329" s="52" t="s">
        <v>472</v>
      </c>
      <c r="B329" s="52" t="s">
        <v>9</v>
      </c>
      <c r="C329" s="52" t="s">
        <v>473</v>
      </c>
      <c r="D329" s="52" t="s">
        <v>168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9</v>
      </c>
      <c r="H329" s="52" t="s">
        <v>9</v>
      </c>
      <c r="I329" s="52" t="s">
        <v>9</v>
      </c>
      <c r="J329" s="52" t="s">
        <v>9</v>
      </c>
      <c r="K329" s="52" t="s">
        <v>9</v>
      </c>
    </row>
    <row r="330" s="35" customFormat="1" hidden="1" spans="1:13">
      <c r="A330" s="52" t="s">
        <v>9</v>
      </c>
      <c r="B330" s="52" t="s">
        <v>9</v>
      </c>
      <c r="C330" s="52" t="s">
        <v>163</v>
      </c>
      <c r="D330" s="52" t="s">
        <v>9</v>
      </c>
      <c r="E330" s="52" t="s">
        <v>9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9</v>
      </c>
      <c r="J330" s="52" t="s">
        <v>9</v>
      </c>
      <c r="K330" s="52">
        <f>SUM(F330:J330)</f>
        <v>0</v>
      </c>
      <c r="M330" s="35" t="e">
        <f>K330/E326</f>
        <v>#DIV/0!</v>
      </c>
    </row>
    <row r="331" ht="117" hidden="1" customHeight="1"/>
    <row r="332" ht="14.4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101 F157 F21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52" workbookViewId="0">
      <selection activeCell="K64" sqref="K64:L64"/>
    </sheetView>
  </sheetViews>
  <sheetFormatPr defaultColWidth="9" defaultRowHeight="14"/>
  <cols>
    <col min="6" max="6" width="23.3363636363636" customWidth="1"/>
    <col min="7" max="7" width="16.7818181818182" customWidth="1"/>
    <col min="9" max="9" width="11.8181818181818"/>
    <col min="14" max="14" width="12.8909090909091"/>
    <col min="15" max="15" width="10.6636363636364"/>
    <col min="16" max="17" width="12.8909090909091"/>
  </cols>
  <sheetData>
    <row r="1" ht="21" spans="1:13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474</v>
      </c>
      <c r="M1" s="9"/>
    </row>
    <row r="2" spans="1:13">
      <c r="A2" s="20" t="s">
        <v>24</v>
      </c>
      <c r="B2" s="20" t="s">
        <v>0</v>
      </c>
      <c r="C2" s="13" t="s">
        <v>475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405</v>
      </c>
      <c r="L2" s="13" t="s">
        <v>0</v>
      </c>
      <c r="M2" s="27"/>
    </row>
    <row r="3" ht="14.4" customHeight="1" spans="1:13">
      <c r="A3" s="20" t="s">
        <v>133</v>
      </c>
      <c r="B3" s="20" t="s">
        <v>0</v>
      </c>
      <c r="C3" s="13" t="s">
        <v>344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分部分项工程量清单综合单价计算表(分页带材料)【现~'!J4</f>
        <v>工程数量0亩 </v>
      </c>
      <c r="L3" s="13" t="s">
        <v>0</v>
      </c>
      <c r="M3" s="11"/>
    </row>
    <row r="4" spans="1:13">
      <c r="A4" s="20" t="s">
        <v>135</v>
      </c>
      <c r="B4" s="20" t="s">
        <v>0</v>
      </c>
      <c r="C4" s="13" t="s">
        <v>476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199</v>
      </c>
      <c r="G5" s="3" t="s">
        <v>200</v>
      </c>
      <c r="H5" s="3" t="s">
        <v>201</v>
      </c>
      <c r="I5" s="3" t="s">
        <v>202</v>
      </c>
      <c r="J5" s="3" t="s">
        <v>203</v>
      </c>
      <c r="K5" s="3" t="s">
        <v>0</v>
      </c>
      <c r="L5" s="3" t="s">
        <v>204</v>
      </c>
      <c r="M5" s="3" t="s">
        <v>205</v>
      </c>
    </row>
    <row r="6" ht="20" customHeight="1" spans="1:13">
      <c r="A6" s="3" t="s">
        <v>53</v>
      </c>
      <c r="B6" s="3" t="s">
        <v>477</v>
      </c>
      <c r="C6" s="3" t="s">
        <v>0</v>
      </c>
      <c r="D6" s="8" t="s">
        <v>207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208</v>
      </c>
      <c r="B7" s="3" t="s">
        <v>209</v>
      </c>
      <c r="C7" s="3" t="s">
        <v>0</v>
      </c>
      <c r="D7" s="8" t="s">
        <v>210</v>
      </c>
      <c r="E7" s="8" t="s">
        <v>0</v>
      </c>
      <c r="F7" s="3" t="s">
        <v>211</v>
      </c>
      <c r="G7" s="15">
        <f>Q7</f>
        <v>0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0</v>
      </c>
      <c r="O7">
        <f>'G.1规费、税金项目清单计价表-GP型'!F6</f>
        <v>0</v>
      </c>
      <c r="P7">
        <f>'F1.1暂列金额明细表（GP型）'!D7</f>
        <v>0</v>
      </c>
      <c r="Q7">
        <f>N7+O7+P7</f>
        <v>0</v>
      </c>
    </row>
    <row r="8" ht="42" customHeight="1" spans="1:13">
      <c r="A8" s="3" t="s">
        <v>212</v>
      </c>
      <c r="B8" s="3" t="s">
        <v>213</v>
      </c>
      <c r="C8" s="3" t="s">
        <v>0</v>
      </c>
      <c r="D8" s="8" t="s">
        <v>214</v>
      </c>
      <c r="E8" s="8" t="s">
        <v>0</v>
      </c>
      <c r="F8" s="3" t="s">
        <v>211</v>
      </c>
      <c r="G8" s="15">
        <f>$G$7</f>
        <v>0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215</v>
      </c>
      <c r="B9" s="3" t="s">
        <v>216</v>
      </c>
      <c r="C9" s="3" t="s">
        <v>0</v>
      </c>
      <c r="D9" s="8" t="s">
        <v>217</v>
      </c>
      <c r="E9" s="8" t="s">
        <v>0</v>
      </c>
      <c r="F9" s="3" t="s">
        <v>211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218</v>
      </c>
      <c r="B10" s="3" t="s">
        <v>219</v>
      </c>
      <c r="C10" s="3" t="s">
        <v>0</v>
      </c>
      <c r="D10" s="8" t="s">
        <v>220</v>
      </c>
      <c r="E10" s="8" t="s">
        <v>0</v>
      </c>
      <c r="F10" s="3" t="s">
        <v>211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478</v>
      </c>
      <c r="C11" s="3" t="s">
        <v>0</v>
      </c>
      <c r="D11" s="8" t="s">
        <v>222</v>
      </c>
      <c r="E11" s="8" t="s">
        <v>0</v>
      </c>
      <c r="F11" s="3" t="s">
        <v>211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479</v>
      </c>
      <c r="C12" s="3" t="s">
        <v>0</v>
      </c>
      <c r="D12" s="8" t="s">
        <v>224</v>
      </c>
      <c r="E12" s="8" t="s">
        <v>0</v>
      </c>
      <c r="F12" s="3" t="s">
        <v>211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480</v>
      </c>
      <c r="C13" s="3" t="s">
        <v>0</v>
      </c>
      <c r="D13" s="8" t="s">
        <v>226</v>
      </c>
      <c r="E13" s="8" t="s">
        <v>0</v>
      </c>
      <c r="F13" s="3" t="s">
        <v>211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481</v>
      </c>
      <c r="C14" s="3" t="s">
        <v>0</v>
      </c>
      <c r="D14" s="8" t="s">
        <v>228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482</v>
      </c>
      <c r="C15" s="3" t="s">
        <v>0</v>
      </c>
      <c r="D15" s="8" t="s">
        <v>230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483</v>
      </c>
      <c r="C16" s="3" t="s">
        <v>0</v>
      </c>
      <c r="D16" s="8" t="s">
        <v>232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156</v>
      </c>
      <c r="B17" s="3" t="s">
        <v>484</v>
      </c>
      <c r="C17" s="3" t="s">
        <v>0</v>
      </c>
      <c r="D17" s="8" t="s">
        <v>234</v>
      </c>
      <c r="E17" s="8" t="s">
        <v>0</v>
      </c>
      <c r="F17" s="3" t="s">
        <v>211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141</v>
      </c>
      <c r="B18" s="25"/>
      <c r="C18" s="25"/>
      <c r="D18" s="25"/>
      <c r="E18" s="25"/>
      <c r="F18" s="26"/>
      <c r="G18" s="26"/>
      <c r="H18" s="26"/>
      <c r="I18" s="31">
        <f>SUM(I7:I17)</f>
        <v>0</v>
      </c>
      <c r="J18" s="32"/>
      <c r="K18" s="33"/>
      <c r="L18" s="26"/>
      <c r="M18" s="26"/>
    </row>
    <row r="19" ht="50.4" customHeight="1" spans="1:13">
      <c r="A19" s="13" t="s">
        <v>235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485</v>
      </c>
      <c r="M21" s="9"/>
    </row>
    <row r="22" spans="1:13">
      <c r="A22" s="20" t="s">
        <v>24</v>
      </c>
      <c r="B22" s="20" t="s">
        <v>0</v>
      </c>
      <c r="C22" s="13" t="s">
        <v>475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132</v>
      </c>
      <c r="L22" s="13" t="s">
        <v>0</v>
      </c>
      <c r="M22" s="27"/>
    </row>
    <row r="23" ht="14.4" customHeight="1" spans="1:13">
      <c r="A23" s="20" t="s">
        <v>133</v>
      </c>
      <c r="B23" s="20" t="s">
        <v>0</v>
      </c>
      <c r="C23" s="13" t="s">
        <v>486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tr">
        <f>'D3-4 分部分项工程量清单综合单价计算表(分页带材料)【现~'!J60</f>
        <v>工程数量0亩 </v>
      </c>
      <c r="L23" s="13" t="s">
        <v>0</v>
      </c>
      <c r="M23" s="11"/>
    </row>
    <row r="24" spans="1:13">
      <c r="A24" s="20" t="s">
        <v>135</v>
      </c>
      <c r="B24" s="20" t="s">
        <v>0</v>
      </c>
      <c r="C24" s="13" t="s">
        <v>487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199</v>
      </c>
      <c r="G25" s="3" t="s">
        <v>200</v>
      </c>
      <c r="H25" s="3" t="s">
        <v>201</v>
      </c>
      <c r="I25" s="3" t="s">
        <v>202</v>
      </c>
      <c r="J25" s="3" t="s">
        <v>203</v>
      </c>
      <c r="K25" s="3" t="s">
        <v>0</v>
      </c>
      <c r="L25" s="3" t="s">
        <v>204</v>
      </c>
      <c r="M25" s="3" t="s">
        <v>205</v>
      </c>
    </row>
    <row r="26" ht="20" customHeight="1" spans="1:13">
      <c r="A26" s="3" t="s">
        <v>53</v>
      </c>
      <c r="B26" s="3" t="s">
        <v>488</v>
      </c>
      <c r="C26" s="3" t="s">
        <v>0</v>
      </c>
      <c r="D26" s="8" t="s">
        <v>207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208</v>
      </c>
      <c r="B27" s="3" t="s">
        <v>209</v>
      </c>
      <c r="C27" s="3" t="s">
        <v>0</v>
      </c>
      <c r="D27" s="8" t="s">
        <v>210</v>
      </c>
      <c r="E27" s="8" t="s">
        <v>0</v>
      </c>
      <c r="F27" s="3" t="s">
        <v>211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212</v>
      </c>
      <c r="B28" s="3" t="s">
        <v>213</v>
      </c>
      <c r="C28" s="3" t="s">
        <v>0</v>
      </c>
      <c r="D28" s="8" t="s">
        <v>214</v>
      </c>
      <c r="E28" s="8" t="s">
        <v>0</v>
      </c>
      <c r="F28" s="3" t="s">
        <v>211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215</v>
      </c>
      <c r="B29" s="3" t="s">
        <v>216</v>
      </c>
      <c r="C29" s="3" t="s">
        <v>0</v>
      </c>
      <c r="D29" s="8" t="s">
        <v>217</v>
      </c>
      <c r="E29" s="8" t="s">
        <v>0</v>
      </c>
      <c r="F29" s="3" t="s">
        <v>211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218</v>
      </c>
      <c r="B30" s="3" t="s">
        <v>219</v>
      </c>
      <c r="C30" s="3" t="s">
        <v>0</v>
      </c>
      <c r="D30" s="8" t="s">
        <v>220</v>
      </c>
      <c r="E30" s="8" t="s">
        <v>0</v>
      </c>
      <c r="F30" s="3" t="s">
        <v>211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489</v>
      </c>
      <c r="C31" s="3" t="s">
        <v>0</v>
      </c>
      <c r="D31" s="8" t="s">
        <v>222</v>
      </c>
      <c r="E31" s="8" t="s">
        <v>0</v>
      </c>
      <c r="F31" s="3" t="s">
        <v>211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490</v>
      </c>
      <c r="C32" s="3" t="s">
        <v>0</v>
      </c>
      <c r="D32" s="8" t="s">
        <v>224</v>
      </c>
      <c r="E32" s="8" t="s">
        <v>0</v>
      </c>
      <c r="F32" s="3" t="s">
        <v>211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491</v>
      </c>
      <c r="C33" s="3" t="s">
        <v>0</v>
      </c>
      <c r="D33" s="8" t="s">
        <v>226</v>
      </c>
      <c r="E33" s="8" t="s">
        <v>0</v>
      </c>
      <c r="F33" s="3" t="s">
        <v>211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492</v>
      </c>
      <c r="C34" s="3" t="s">
        <v>0</v>
      </c>
      <c r="D34" s="8" t="s">
        <v>228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493</v>
      </c>
      <c r="C35" s="3" t="s">
        <v>0</v>
      </c>
      <c r="D35" s="8" t="s">
        <v>230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494</v>
      </c>
      <c r="C36" s="3" t="s">
        <v>0</v>
      </c>
      <c r="D36" s="8" t="s">
        <v>232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156</v>
      </c>
      <c r="B37" s="3" t="s">
        <v>495</v>
      </c>
      <c r="C37" s="3" t="s">
        <v>0</v>
      </c>
      <c r="D37" s="8" t="s">
        <v>234</v>
      </c>
      <c r="E37" s="8" t="s">
        <v>0</v>
      </c>
      <c r="F37" s="3" t="s">
        <v>211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141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235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496</v>
      </c>
      <c r="M41" s="9"/>
    </row>
    <row r="42" spans="1:13">
      <c r="A42" s="20" t="s">
        <v>24</v>
      </c>
      <c r="B42" s="20" t="s">
        <v>0</v>
      </c>
      <c r="C42" s="13" t="s">
        <v>475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132</v>
      </c>
      <c r="L42" s="13" t="s">
        <v>0</v>
      </c>
      <c r="M42" s="27"/>
    </row>
    <row r="43" ht="14.4" customHeight="1" spans="1:13">
      <c r="A43" s="20" t="s">
        <v>133</v>
      </c>
      <c r="B43" s="20" t="s">
        <v>0</v>
      </c>
      <c r="C43" s="13" t="s">
        <v>497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tr">
        <f>'D3-4 分部分项工程量清单综合单价计算表(分页带材料)【现~'!J116</f>
        <v>工程数量4260.5亩 </v>
      </c>
      <c r="L43" s="13" t="s">
        <v>0</v>
      </c>
      <c r="M43" s="11"/>
    </row>
    <row r="44" spans="1:13">
      <c r="A44" s="20" t="s">
        <v>135</v>
      </c>
      <c r="B44" s="20" t="s">
        <v>0</v>
      </c>
      <c r="C44" s="13" t="s">
        <v>498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199</v>
      </c>
      <c r="G45" s="3" t="s">
        <v>200</v>
      </c>
      <c r="H45" s="3" t="s">
        <v>201</v>
      </c>
      <c r="I45" s="3" t="s">
        <v>202</v>
      </c>
      <c r="J45" s="3" t="s">
        <v>203</v>
      </c>
      <c r="K45" s="3" t="s">
        <v>0</v>
      </c>
      <c r="L45" s="3" t="s">
        <v>204</v>
      </c>
      <c r="M45" s="3" t="s">
        <v>205</v>
      </c>
    </row>
    <row r="46" ht="20" customHeight="1" spans="1:13">
      <c r="A46" s="3" t="s">
        <v>53</v>
      </c>
      <c r="B46" s="3" t="s">
        <v>499</v>
      </c>
      <c r="C46" s="3" t="s">
        <v>0</v>
      </c>
      <c r="D46" s="8" t="s">
        <v>207</v>
      </c>
      <c r="E46" s="8" t="s">
        <v>0</v>
      </c>
      <c r="F46" s="3"/>
      <c r="G46" s="3"/>
      <c r="H46" s="3"/>
      <c r="I46" s="3">
        <f>SUM(I47:I50)</f>
        <v>85392.232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208</v>
      </c>
      <c r="B47" s="3" t="s">
        <v>209</v>
      </c>
      <c r="C47" s="3" t="s">
        <v>0</v>
      </c>
      <c r="D47" s="8" t="s">
        <v>210</v>
      </c>
      <c r="E47" s="8" t="s">
        <v>0</v>
      </c>
      <c r="F47" s="3" t="s">
        <v>211</v>
      </c>
      <c r="G47" s="15">
        <f>Q47</f>
        <v>6420468.42404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6262495.78404</v>
      </c>
      <c r="O47">
        <f>'G.1规费、税金项目清单计价表-GP型'!F28</f>
        <v>157972.64</v>
      </c>
      <c r="P47">
        <f>'F1.1暂列金额明细表（GP型）'!D63</f>
        <v>0</v>
      </c>
      <c r="Q47">
        <f>N47+O47+P47</f>
        <v>6420468.42404</v>
      </c>
    </row>
    <row r="48" ht="42" customHeight="1" spans="1:13">
      <c r="A48" s="3" t="s">
        <v>212</v>
      </c>
      <c r="B48" s="3" t="s">
        <v>213</v>
      </c>
      <c r="C48" s="3" t="s">
        <v>0</v>
      </c>
      <c r="D48" s="8" t="s">
        <v>214</v>
      </c>
      <c r="E48" s="8" t="s">
        <v>0</v>
      </c>
      <c r="F48" s="3" t="s">
        <v>211</v>
      </c>
      <c r="G48" s="15">
        <f>$G$47</f>
        <v>6420468.42404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215</v>
      </c>
      <c r="B49" s="3" t="s">
        <v>216</v>
      </c>
      <c r="C49" s="3" t="s">
        <v>0</v>
      </c>
      <c r="D49" s="8" t="s">
        <v>217</v>
      </c>
      <c r="E49" s="8" t="s">
        <v>0</v>
      </c>
      <c r="F49" s="3" t="s">
        <v>211</v>
      </c>
      <c r="G49" s="15">
        <f t="shared" ref="G49:G52" si="9">$G$47</f>
        <v>6420468.42404</v>
      </c>
      <c r="H49" s="16">
        <v>1.4</v>
      </c>
      <c r="I49" s="16">
        <f t="shared" si="8"/>
        <v>85392.232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218</v>
      </c>
      <c r="B50" s="3" t="s">
        <v>219</v>
      </c>
      <c r="C50" s="3" t="s">
        <v>0</v>
      </c>
      <c r="D50" s="8" t="s">
        <v>220</v>
      </c>
      <c r="E50" s="8" t="s">
        <v>0</v>
      </c>
      <c r="F50" s="3" t="s">
        <v>211</v>
      </c>
      <c r="G50" s="15">
        <f t="shared" si="9"/>
        <v>6420468.42404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500</v>
      </c>
      <c r="C51" s="3" t="s">
        <v>0</v>
      </c>
      <c r="D51" s="8" t="s">
        <v>222</v>
      </c>
      <c r="E51" s="8" t="s">
        <v>0</v>
      </c>
      <c r="F51" s="3" t="s">
        <v>211</v>
      </c>
      <c r="G51" s="15">
        <f t="shared" si="9"/>
        <v>6420468.42404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501</v>
      </c>
      <c r="C52" s="3" t="s">
        <v>0</v>
      </c>
      <c r="D52" s="8" t="s">
        <v>224</v>
      </c>
      <c r="E52" s="8" t="s">
        <v>0</v>
      </c>
      <c r="F52" s="3" t="s">
        <v>211</v>
      </c>
      <c r="G52" s="15">
        <f t="shared" si="9"/>
        <v>6420468.42404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502</v>
      </c>
      <c r="C53" s="3" t="s">
        <v>0</v>
      </c>
      <c r="D53" s="8" t="s">
        <v>226</v>
      </c>
      <c r="E53" s="8" t="s">
        <v>0</v>
      </c>
      <c r="F53" s="3" t="s">
        <v>211</v>
      </c>
      <c r="G53" s="15">
        <f t="shared" ref="G53" si="10">$G$47</f>
        <v>6420468.42404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503</v>
      </c>
      <c r="C54" s="3" t="s">
        <v>0</v>
      </c>
      <c r="D54" s="8" t="s">
        <v>228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504</v>
      </c>
      <c r="C55" s="3" t="s">
        <v>0</v>
      </c>
      <c r="D55" s="8" t="s">
        <v>230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505</v>
      </c>
      <c r="C56" s="3" t="s">
        <v>0</v>
      </c>
      <c r="D56" s="8" t="s">
        <v>232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156</v>
      </c>
      <c r="B57" s="3" t="s">
        <v>506</v>
      </c>
      <c r="C57" s="3" t="s">
        <v>0</v>
      </c>
      <c r="D57" s="8" t="s">
        <v>234</v>
      </c>
      <c r="E57" s="8" t="s">
        <v>0</v>
      </c>
      <c r="F57" s="3" t="s">
        <v>211</v>
      </c>
      <c r="G57" s="15">
        <f t="shared" ref="G57" si="11">$G$47</f>
        <v>6420468.42404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141</v>
      </c>
      <c r="B58" s="25"/>
      <c r="C58" s="25"/>
      <c r="D58" s="25"/>
      <c r="E58" s="25"/>
      <c r="F58" s="26"/>
      <c r="G58" s="26"/>
      <c r="H58" s="25"/>
      <c r="I58" s="31">
        <f>SUM(I47:I57)</f>
        <v>85392.232</v>
      </c>
      <c r="J58" s="32"/>
      <c r="K58" s="33"/>
      <c r="L58" s="26"/>
      <c r="M58" s="26"/>
    </row>
    <row r="59" ht="31" customHeight="1" spans="1:13">
      <c r="A59" s="13" t="s">
        <v>235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507</v>
      </c>
      <c r="M61" s="9"/>
    </row>
    <row r="62" spans="1:13">
      <c r="A62" s="20" t="s">
        <v>24</v>
      </c>
      <c r="B62" s="20" t="s">
        <v>0</v>
      </c>
      <c r="C62" s="13" t="s">
        <v>475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132</v>
      </c>
      <c r="L62" s="13" t="s">
        <v>0</v>
      </c>
      <c r="M62" s="27"/>
    </row>
    <row r="63" ht="14.4" customHeight="1" spans="1:13">
      <c r="A63" s="20" t="s">
        <v>133</v>
      </c>
      <c r="B63" s="20" t="s">
        <v>0</v>
      </c>
      <c r="C63" s="13" t="s">
        <v>508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tr">
        <f>'D3-4 分部分项工程量清单综合单价计算表(分页带材料)【现~'!J172</f>
        <v>工程数量0亩 </v>
      </c>
      <c r="L63" s="13" t="s">
        <v>0</v>
      </c>
      <c r="M63" s="11"/>
    </row>
    <row r="64" spans="1:13">
      <c r="A64" s="20" t="s">
        <v>135</v>
      </c>
      <c r="B64" s="20" t="s">
        <v>0</v>
      </c>
      <c r="C64" s="13" t="s">
        <v>509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199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0</v>
      </c>
      <c r="L65" s="3" t="s">
        <v>204</v>
      </c>
      <c r="M65" s="3" t="s">
        <v>205</v>
      </c>
    </row>
    <row r="66" ht="20" customHeight="1" spans="1:13">
      <c r="A66" s="3" t="s">
        <v>53</v>
      </c>
      <c r="B66" s="3" t="s">
        <v>510</v>
      </c>
      <c r="C66" s="3" t="s">
        <v>0</v>
      </c>
      <c r="D66" s="8" t="s">
        <v>207</v>
      </c>
      <c r="E66" s="8" t="s">
        <v>0</v>
      </c>
      <c r="F66" s="3" t="s">
        <v>9</v>
      </c>
      <c r="G66" s="3"/>
      <c r="H66" s="3" t="s">
        <v>9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208</v>
      </c>
      <c r="B67" s="3" t="s">
        <v>209</v>
      </c>
      <c r="C67" s="3" t="s">
        <v>0</v>
      </c>
      <c r="D67" s="8" t="s">
        <v>210</v>
      </c>
      <c r="E67" s="8" t="s">
        <v>0</v>
      </c>
      <c r="F67" s="3" t="s">
        <v>211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212</v>
      </c>
      <c r="B68" s="3" t="s">
        <v>213</v>
      </c>
      <c r="C68" s="3" t="s">
        <v>0</v>
      </c>
      <c r="D68" s="8" t="s">
        <v>214</v>
      </c>
      <c r="E68" s="8" t="s">
        <v>0</v>
      </c>
      <c r="F68" s="3" t="s">
        <v>211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215</v>
      </c>
      <c r="B69" s="3" t="s">
        <v>216</v>
      </c>
      <c r="C69" s="3" t="s">
        <v>0</v>
      </c>
      <c r="D69" s="8" t="s">
        <v>217</v>
      </c>
      <c r="E69" s="8" t="s">
        <v>0</v>
      </c>
      <c r="F69" s="3" t="s">
        <v>211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218</v>
      </c>
      <c r="B70" s="3" t="s">
        <v>219</v>
      </c>
      <c r="C70" s="3" t="s">
        <v>0</v>
      </c>
      <c r="D70" s="8" t="s">
        <v>220</v>
      </c>
      <c r="E70" s="8" t="s">
        <v>0</v>
      </c>
      <c r="F70" s="3" t="s">
        <v>211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511</v>
      </c>
      <c r="C71" s="3" t="s">
        <v>0</v>
      </c>
      <c r="D71" s="8" t="s">
        <v>222</v>
      </c>
      <c r="E71" s="8" t="s">
        <v>0</v>
      </c>
      <c r="F71" s="3" t="s">
        <v>211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512</v>
      </c>
      <c r="C72" s="3" t="s">
        <v>0</v>
      </c>
      <c r="D72" s="8" t="s">
        <v>224</v>
      </c>
      <c r="E72" s="8" t="s">
        <v>0</v>
      </c>
      <c r="F72" s="3" t="s">
        <v>211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513</v>
      </c>
      <c r="C73" s="3" t="s">
        <v>0</v>
      </c>
      <c r="D73" s="8" t="s">
        <v>226</v>
      </c>
      <c r="E73" s="8" t="s">
        <v>0</v>
      </c>
      <c r="F73" s="3" t="s">
        <v>211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514</v>
      </c>
      <c r="C74" s="3" t="s">
        <v>0</v>
      </c>
      <c r="D74" s="8" t="s">
        <v>228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515</v>
      </c>
      <c r="C75" s="3" t="s">
        <v>0</v>
      </c>
      <c r="D75" s="8" t="s">
        <v>230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516</v>
      </c>
      <c r="C76" s="3" t="s">
        <v>0</v>
      </c>
      <c r="D76" s="8" t="s">
        <v>232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156</v>
      </c>
      <c r="B77" s="3" t="s">
        <v>517</v>
      </c>
      <c r="C77" s="3" t="s">
        <v>0</v>
      </c>
      <c r="D77" s="8" t="s">
        <v>234</v>
      </c>
      <c r="E77" s="8" t="s">
        <v>0</v>
      </c>
      <c r="F77" s="3" t="s">
        <v>211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141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235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ht="14.4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" outlineLevelCol="5"/>
  <cols>
    <col min="2" max="2" width="33.3363636363636" customWidth="1"/>
    <col min="3" max="3" width="11.4454545454545" customWidth="1"/>
    <col min="4" max="4" width="13.2090909090909" customWidth="1"/>
    <col min="6" max="6" width="20.2090909090909" customWidth="1"/>
    <col min="7" max="7" width="11.7818181818182"/>
  </cols>
  <sheetData>
    <row r="1" ht="21" spans="1:6">
      <c r="A1" s="1" t="s">
        <v>236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475</v>
      </c>
      <c r="C3" s="13"/>
      <c r="D3" s="13"/>
      <c r="E3" s="13"/>
      <c r="F3" s="24" t="s">
        <v>518</v>
      </c>
    </row>
    <row r="4" spans="1:6">
      <c r="A4" s="3" t="s">
        <v>32</v>
      </c>
      <c r="B4" s="3" t="s">
        <v>237</v>
      </c>
      <c r="C4" s="3" t="s">
        <v>50</v>
      </c>
      <c r="D4" s="3" t="s">
        <v>238</v>
      </c>
      <c r="E4" s="3" t="s">
        <v>205</v>
      </c>
      <c r="F4" s="3" t="s">
        <v>0</v>
      </c>
    </row>
    <row r="5" spans="1:6">
      <c r="A5" s="3" t="s">
        <v>53</v>
      </c>
      <c r="B5" s="8" t="s">
        <v>239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240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241</v>
      </c>
      <c r="C7" s="3" t="s">
        <v>43</v>
      </c>
      <c r="D7" s="18" t="s">
        <v>0</v>
      </c>
      <c r="E7" s="3"/>
      <c r="F7" s="3"/>
    </row>
    <row r="8" spans="1:6">
      <c r="A8" s="3" t="s">
        <v>242</v>
      </c>
      <c r="B8" s="8" t="s">
        <v>243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244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245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topLeftCell="A82" workbookViewId="0">
      <selection activeCell="E89" sqref="E89"/>
    </sheetView>
  </sheetViews>
  <sheetFormatPr defaultColWidth="9" defaultRowHeight="14" outlineLevelCol="4"/>
  <cols>
    <col min="1" max="1" width="13.3363636363636" customWidth="1"/>
    <col min="2" max="3" width="21.7818181818182" customWidth="1"/>
    <col min="4" max="4" width="22.4454545454545" customWidth="1"/>
    <col min="5" max="5" width="21.7818181818182" customWidth="1"/>
  </cols>
  <sheetData>
    <row r="1" ht="21.6" customHeight="1" spans="1:5">
      <c r="A1" s="10" t="s">
        <v>246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475</v>
      </c>
      <c r="C3" s="13"/>
      <c r="D3" s="13"/>
      <c r="E3" s="12" t="s">
        <v>132</v>
      </c>
    </row>
    <row r="4" spans="1:5">
      <c r="A4" s="20" t="s">
        <v>133</v>
      </c>
      <c r="B4" s="13" t="s">
        <v>519</v>
      </c>
      <c r="C4" s="13"/>
      <c r="D4" s="13"/>
      <c r="E4" s="13" t="str">
        <f>'D3-4 分部分项工程量清单综合单价计算表(分页带材料)【现~'!J4</f>
        <v>工程数量0亩 </v>
      </c>
    </row>
    <row r="5" spans="1:5">
      <c r="A5" s="20" t="s">
        <v>135</v>
      </c>
      <c r="B5" s="14" t="s">
        <v>520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248</v>
      </c>
      <c r="D6" s="3" t="s">
        <v>249</v>
      </c>
      <c r="E6" s="3" t="s">
        <v>205</v>
      </c>
    </row>
    <row r="7" spans="1:5">
      <c r="A7" s="3" t="s">
        <v>53</v>
      </c>
      <c r="B7" s="8" t="s">
        <v>239</v>
      </c>
      <c r="C7" s="3" t="s">
        <v>250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128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251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1" spans="1:5">
      <c r="A29" s="10" t="s">
        <v>246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475</v>
      </c>
      <c r="C31" s="13"/>
      <c r="D31" s="13"/>
      <c r="E31" s="12" t="s">
        <v>132</v>
      </c>
    </row>
    <row r="32" spans="1:5">
      <c r="A32" s="20" t="s">
        <v>133</v>
      </c>
      <c r="B32" s="13" t="s">
        <v>521</v>
      </c>
      <c r="C32" s="13"/>
      <c r="D32" s="13"/>
      <c r="E32" s="13" t="str">
        <f>'D3-4 分部分项工程量清单综合单价计算表(分页带材料)【现~'!J60</f>
        <v>工程数量0亩 </v>
      </c>
    </row>
    <row r="33" spans="1:5">
      <c r="A33" s="20" t="s">
        <v>135</v>
      </c>
      <c r="B33" s="14" t="s">
        <v>522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248</v>
      </c>
      <c r="D34" s="3" t="s">
        <v>249</v>
      </c>
      <c r="E34" s="3" t="s">
        <v>205</v>
      </c>
    </row>
    <row r="35" spans="1:5">
      <c r="A35" s="3" t="s">
        <v>53</v>
      </c>
      <c r="B35" s="8" t="s">
        <v>239</v>
      </c>
      <c r="C35" s="3" t="s">
        <v>250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128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251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1" spans="1:5">
      <c r="A57" s="10" t="s">
        <v>246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475</v>
      </c>
      <c r="C59" s="13"/>
      <c r="D59" s="13"/>
      <c r="E59" s="12" t="s">
        <v>132</v>
      </c>
    </row>
    <row r="60" spans="1:5">
      <c r="A60" s="20" t="s">
        <v>133</v>
      </c>
      <c r="B60" s="13" t="s">
        <v>413</v>
      </c>
      <c r="C60" s="13"/>
      <c r="D60" s="13"/>
      <c r="E60" s="13" t="str">
        <f>'D3-4 分部分项工程量清单综合单价计算表(分页带材料)【现~'!J116</f>
        <v>工程数量4260.5亩 </v>
      </c>
    </row>
    <row r="61" spans="1:5">
      <c r="A61" s="20" t="s">
        <v>135</v>
      </c>
      <c r="B61" s="14" t="s">
        <v>523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248</v>
      </c>
      <c r="D62" s="3" t="s">
        <v>249</v>
      </c>
      <c r="E62" s="3" t="s">
        <v>205</v>
      </c>
    </row>
    <row r="63" spans="1:5">
      <c r="A63" s="3" t="s">
        <v>53</v>
      </c>
      <c r="B63" s="8" t="s">
        <v>239</v>
      </c>
      <c r="C63" s="3" t="s">
        <v>250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128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251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1" spans="1:5">
      <c r="A85" s="10" t="s">
        <v>246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475</v>
      </c>
      <c r="C87" s="13"/>
      <c r="D87" s="13"/>
      <c r="E87" s="12" t="s">
        <v>132</v>
      </c>
    </row>
    <row r="88" spans="1:5">
      <c r="A88" s="20" t="s">
        <v>133</v>
      </c>
      <c r="B88" s="13" t="s">
        <v>126</v>
      </c>
      <c r="C88" s="13"/>
      <c r="D88" s="13"/>
      <c r="E88" s="13" t="str">
        <f>'D3-4 分部分项工程量清单综合单价计算表(分页带材料)【现~'!J172</f>
        <v>工程数量0亩 </v>
      </c>
    </row>
    <row r="89" spans="1:5">
      <c r="A89" s="20" t="s">
        <v>135</v>
      </c>
      <c r="B89" s="14" t="s">
        <v>524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248</v>
      </c>
      <c r="D90" s="3" t="s">
        <v>249</v>
      </c>
      <c r="E90" s="3" t="s">
        <v>205</v>
      </c>
    </row>
    <row r="91" spans="1:5">
      <c r="A91" s="3" t="s">
        <v>53</v>
      </c>
      <c r="B91" s="8" t="s">
        <v>239</v>
      </c>
      <c r="C91" s="3" t="s">
        <v>250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128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251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workbookViewId="0">
      <selection activeCell="E37" sqref="E37"/>
    </sheetView>
  </sheetViews>
  <sheetFormatPr defaultColWidth="9" defaultRowHeight="14" outlineLevelCol="5"/>
  <cols>
    <col min="2" max="2" width="13.7818181818182" customWidth="1"/>
    <col min="3" max="3" width="39.2181818181818" customWidth="1"/>
    <col min="4" max="4" width="14.1090909090909" customWidth="1"/>
    <col min="5" max="5" width="15.2090909090909" customWidth="1"/>
    <col min="6" max="6" width="13.4454545454545" customWidth="1"/>
  </cols>
  <sheetData>
    <row r="1" ht="21" spans="1:6">
      <c r="A1" s="10" t="s">
        <v>252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475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525</v>
      </c>
      <c r="C3" s="13"/>
      <c r="D3" s="13"/>
      <c r="E3" s="13" t="str">
        <f>'F1.1暂列金额明细表（GP型）'!E4</f>
        <v>工程数量0亩 </v>
      </c>
      <c r="F3" s="13" t="s">
        <v>0</v>
      </c>
    </row>
    <row r="4" spans="1:6">
      <c r="A4" s="12" t="s">
        <v>135</v>
      </c>
      <c r="B4" s="14" t="s">
        <v>476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199</v>
      </c>
      <c r="D5" s="3" t="s">
        <v>200</v>
      </c>
      <c r="E5" s="3" t="s">
        <v>255</v>
      </c>
      <c r="F5" s="3" t="s">
        <v>256</v>
      </c>
    </row>
    <row r="6" ht="51.6" customHeight="1" spans="1:6">
      <c r="A6" s="3" t="s">
        <v>53</v>
      </c>
      <c r="B6" s="8" t="s">
        <v>39</v>
      </c>
      <c r="C6" s="3" t="s">
        <v>257</v>
      </c>
      <c r="D6" s="15">
        <f>'D3-3 分部分项工程量清单综合单价计算表(分页不带材料)~3'!F17</f>
        <v>0</v>
      </c>
      <c r="E6" s="16">
        <v>4.8</v>
      </c>
      <c r="F6" s="3">
        <f>ROUND(D6*E6/100,2)</f>
        <v>0</v>
      </c>
    </row>
    <row r="7" ht="51.6" customHeight="1" spans="1:6">
      <c r="A7" s="3" t="s">
        <v>60</v>
      </c>
      <c r="B7" s="8" t="s">
        <v>82</v>
      </c>
      <c r="C7" s="3" t="s">
        <v>258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0</v>
      </c>
      <c r="E7" s="3">
        <v>9</v>
      </c>
      <c r="F7" s="3">
        <f>ROUND(D7*E7/100,2)</f>
        <v>0</v>
      </c>
    </row>
    <row r="8" ht="51.6" customHeight="1" spans="1:6">
      <c r="A8" s="3">
        <v>3</v>
      </c>
      <c r="B8" s="8" t="s">
        <v>83</v>
      </c>
      <c r="C8" s="3" t="s">
        <v>258</v>
      </c>
      <c r="D8" s="17">
        <f>D7</f>
        <v>0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163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2" ht="21" spans="1:6">
      <c r="A12" s="10" t="s">
        <v>252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475</v>
      </c>
      <c r="C13" s="13"/>
      <c r="D13" s="13"/>
      <c r="E13" s="13" t="s">
        <v>132</v>
      </c>
      <c r="F13" s="13" t="s">
        <v>0</v>
      </c>
    </row>
    <row r="14" spans="1:6">
      <c r="A14" s="12" t="s">
        <v>133</v>
      </c>
      <c r="B14" s="13" t="s">
        <v>521</v>
      </c>
      <c r="C14" s="13"/>
      <c r="D14" s="13"/>
      <c r="E14" s="13" t="str">
        <f>'F1.1暂列金额明细表（GP型）'!E32</f>
        <v>工程数量0亩 </v>
      </c>
      <c r="F14" s="13" t="s">
        <v>0</v>
      </c>
    </row>
    <row r="15" spans="1:6">
      <c r="A15" s="12" t="s">
        <v>135</v>
      </c>
      <c r="B15" s="14" t="s">
        <v>526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199</v>
      </c>
      <c r="D16" s="3" t="s">
        <v>200</v>
      </c>
      <c r="E16" s="3" t="s">
        <v>255</v>
      </c>
      <c r="F16" s="3" t="s">
        <v>256</v>
      </c>
    </row>
    <row r="17" ht="51.6" customHeight="1" spans="1:6">
      <c r="A17" s="3" t="s">
        <v>53</v>
      </c>
      <c r="B17" s="8" t="s">
        <v>39</v>
      </c>
      <c r="C17" s="3" t="s">
        <v>257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60</v>
      </c>
      <c r="B18" s="8" t="s">
        <v>82</v>
      </c>
      <c r="C18" s="3" t="s">
        <v>258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9</v>
      </c>
      <c r="F18" s="3">
        <f>ROUND(D18*E18/100,2)</f>
        <v>0</v>
      </c>
    </row>
    <row r="19" ht="51.6" customHeight="1" spans="1:6">
      <c r="A19" s="3">
        <v>3</v>
      </c>
      <c r="B19" s="8" t="s">
        <v>83</v>
      </c>
      <c r="C19" s="3" t="s">
        <v>258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163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1" spans="1:6">
      <c r="A23" s="10" t="s">
        <v>252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475</v>
      </c>
      <c r="C24" s="13"/>
      <c r="D24" s="13"/>
      <c r="E24" s="13" t="s">
        <v>132</v>
      </c>
      <c r="F24" s="13" t="s">
        <v>0</v>
      </c>
    </row>
    <row r="25" spans="1:6">
      <c r="A25" s="12" t="s">
        <v>133</v>
      </c>
      <c r="B25" s="13" t="s">
        <v>367</v>
      </c>
      <c r="C25" s="13"/>
      <c r="D25" s="13"/>
      <c r="E25" s="13" t="str">
        <f>'F1.1暂列金额明细表（GP型）'!E60</f>
        <v>工程数量4260.5亩 </v>
      </c>
      <c r="F25" s="13" t="s">
        <v>0</v>
      </c>
    </row>
    <row r="26" spans="1:6">
      <c r="A26" s="12" t="s">
        <v>135</v>
      </c>
      <c r="B26" s="14" t="s">
        <v>527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199</v>
      </c>
      <c r="D27" s="3" t="s">
        <v>200</v>
      </c>
      <c r="E27" s="3" t="s">
        <v>255</v>
      </c>
      <c r="F27" s="3" t="s">
        <v>256</v>
      </c>
    </row>
    <row r="28" ht="51.6" customHeight="1" spans="1:6">
      <c r="A28" s="3" t="s">
        <v>53</v>
      </c>
      <c r="B28" s="8" t="s">
        <v>39</v>
      </c>
      <c r="C28" s="3" t="s">
        <v>257</v>
      </c>
      <c r="D28" s="15">
        <f>'D3-3 分部分项工程量清单综合单价计算表(分页不带材料)~3'!F55</f>
        <v>3291096.628</v>
      </c>
      <c r="E28" s="16">
        <v>4.8</v>
      </c>
      <c r="F28" s="3">
        <f>ROUND(D28*E28/100,2)</f>
        <v>157972.64</v>
      </c>
    </row>
    <row r="29" ht="51.6" customHeight="1" spans="1:6">
      <c r="A29" s="3" t="s">
        <v>60</v>
      </c>
      <c r="B29" s="8" t="s">
        <v>82</v>
      </c>
      <c r="C29" s="3" t="s">
        <v>258</v>
      </c>
      <c r="D29" s="17">
        <f>'D3-3 分部分项工程量清单综合单价计算表(分页不带材料)~3'!K55+'E.1分部分项工程总价措施项目清单计价表-GP型'!I58+'F1.1暂列金额明细表（GP型）'!D82+F28</f>
        <v>6505860.65604</v>
      </c>
      <c r="E29" s="3">
        <v>9</v>
      </c>
      <c r="F29" s="3">
        <f>ROUND(D29*E29/100,2)</f>
        <v>585527.46</v>
      </c>
    </row>
    <row r="30" ht="51.6" customHeight="1" spans="1:6">
      <c r="A30" s="3">
        <v>3</v>
      </c>
      <c r="B30" s="8" t="s">
        <v>83</v>
      </c>
      <c r="C30" s="3" t="s">
        <v>258</v>
      </c>
      <c r="D30" s="17">
        <f>D29</f>
        <v>6505860.65604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163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743500.1</v>
      </c>
    </row>
    <row r="34" ht="21" spans="1:6">
      <c r="A34" s="10" t="s">
        <v>252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475</v>
      </c>
      <c r="C35" s="13"/>
      <c r="D35" s="13"/>
      <c r="E35" s="13" t="s">
        <v>132</v>
      </c>
      <c r="F35" s="13" t="s">
        <v>0</v>
      </c>
    </row>
    <row r="36" spans="1:6">
      <c r="A36" s="12" t="s">
        <v>133</v>
      </c>
      <c r="B36" s="13" t="s">
        <v>528</v>
      </c>
      <c r="C36" s="13"/>
      <c r="D36" s="13"/>
      <c r="E36" s="13" t="str">
        <f>'F1.1暂列金额明细表（GP型）'!E88</f>
        <v>工程数量0亩 </v>
      </c>
      <c r="F36" s="13" t="s">
        <v>0</v>
      </c>
    </row>
    <row r="37" spans="1:6">
      <c r="A37" s="12" t="s">
        <v>135</v>
      </c>
      <c r="B37" s="14" t="s">
        <v>529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199</v>
      </c>
      <c r="D38" s="3" t="s">
        <v>200</v>
      </c>
      <c r="E38" s="3" t="s">
        <v>255</v>
      </c>
      <c r="F38" s="3" t="s">
        <v>256</v>
      </c>
    </row>
    <row r="39" ht="51.6" customHeight="1" spans="1:6">
      <c r="A39" s="3" t="s">
        <v>53</v>
      </c>
      <c r="B39" s="8" t="s">
        <v>39</v>
      </c>
      <c r="C39" s="3" t="s">
        <v>257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60</v>
      </c>
      <c r="B40" s="8" t="s">
        <v>82</v>
      </c>
      <c r="C40" s="3" t="s">
        <v>258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9</v>
      </c>
      <c r="F40" s="3">
        <f>ROUND(D40*E40/100,2)</f>
        <v>0</v>
      </c>
    </row>
    <row r="41" ht="51.6" customHeight="1" spans="1:6">
      <c r="A41" s="3">
        <v>3</v>
      </c>
      <c r="B41" s="8" t="s">
        <v>83</v>
      </c>
      <c r="C41" s="3" t="s">
        <v>258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163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view="pageBreakPreview" zoomScaleNormal="100" workbookViewId="0">
      <selection activeCell="P26" sqref="P26"/>
    </sheetView>
  </sheetViews>
  <sheetFormatPr defaultColWidth="9" defaultRowHeight="14" outlineLevelCol="5"/>
  <cols>
    <col min="1" max="1" width="6.78181818181818" customWidth="1"/>
    <col min="2" max="2" width="11" customWidth="1"/>
    <col min="3" max="3" width="22.6636363636364" customWidth="1"/>
    <col min="4" max="4" width="33" customWidth="1"/>
    <col min="5" max="5" width="10.3363636363636" customWidth="1"/>
    <col min="6" max="6" width="9.66363636363636" customWidth="1"/>
    <col min="12" max="12" width="12.8181818181818"/>
  </cols>
  <sheetData>
    <row r="1" ht="28.8" customHeight="1" spans="1:6">
      <c r="A1" s="1" t="s">
        <v>259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341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260</v>
      </c>
      <c r="C3" s="3" t="s">
        <v>261</v>
      </c>
      <c r="D3" s="3" t="s">
        <v>262</v>
      </c>
      <c r="E3" s="3" t="s">
        <v>110</v>
      </c>
      <c r="F3" s="3" t="s">
        <v>263</v>
      </c>
    </row>
    <row r="4" spans="1:6">
      <c r="A4" s="3" t="s">
        <v>53</v>
      </c>
      <c r="B4" s="3" t="s">
        <v>334</v>
      </c>
      <c r="C4" s="5" t="s">
        <v>316</v>
      </c>
      <c r="D4" s="6"/>
      <c r="E4" s="7" t="s">
        <v>168</v>
      </c>
      <c r="F4" s="7">
        <v>232</v>
      </c>
    </row>
    <row r="5" spans="1:6">
      <c r="A5" s="3" t="s">
        <v>60</v>
      </c>
      <c r="B5" s="3" t="s">
        <v>264</v>
      </c>
      <c r="C5" s="5" t="s">
        <v>265</v>
      </c>
      <c r="D5" s="6"/>
      <c r="E5" s="7" t="s">
        <v>168</v>
      </c>
      <c r="F5" s="7">
        <v>232</v>
      </c>
    </row>
    <row r="6" spans="1:6">
      <c r="A6" s="3" t="s">
        <v>64</v>
      </c>
      <c r="B6" s="3" t="s">
        <v>335</v>
      </c>
      <c r="C6" s="5" t="s">
        <v>317</v>
      </c>
      <c r="D6" s="6"/>
      <c r="E6" s="7" t="s">
        <v>168</v>
      </c>
      <c r="F6" s="7">
        <v>232</v>
      </c>
    </row>
    <row r="7" spans="1:6">
      <c r="A7" s="3" t="s">
        <v>74</v>
      </c>
      <c r="B7" s="3" t="s">
        <v>336</v>
      </c>
      <c r="C7" s="5" t="s">
        <v>318</v>
      </c>
      <c r="D7" s="6"/>
      <c r="E7" s="7" t="s">
        <v>168</v>
      </c>
      <c r="F7" s="7">
        <v>128</v>
      </c>
    </row>
    <row r="8" spans="1:6">
      <c r="A8" s="3" t="s">
        <v>75</v>
      </c>
      <c r="B8" s="3" t="s">
        <v>337</v>
      </c>
      <c r="C8" s="5" t="s">
        <v>319</v>
      </c>
      <c r="D8" s="6"/>
      <c r="E8" s="7" t="s">
        <v>168</v>
      </c>
      <c r="F8" s="7">
        <v>128</v>
      </c>
    </row>
    <row r="9" spans="1:6">
      <c r="A9" s="3" t="s">
        <v>77</v>
      </c>
      <c r="B9" s="3" t="s">
        <v>338</v>
      </c>
      <c r="C9" s="5" t="s">
        <v>320</v>
      </c>
      <c r="D9" s="6"/>
      <c r="E9" s="7" t="s">
        <v>168</v>
      </c>
      <c r="F9" s="7">
        <v>128</v>
      </c>
    </row>
    <row r="10" spans="1:6">
      <c r="A10" s="3" t="s">
        <v>81</v>
      </c>
      <c r="B10" s="3" t="s">
        <v>339</v>
      </c>
      <c r="C10" s="5" t="s">
        <v>321</v>
      </c>
      <c r="D10" s="6"/>
      <c r="E10" s="7" t="s">
        <v>168</v>
      </c>
      <c r="F10" s="7">
        <v>128</v>
      </c>
    </row>
    <row r="11" spans="1:6">
      <c r="A11" s="3" t="s">
        <v>156</v>
      </c>
      <c r="B11" s="3" t="s">
        <v>340</v>
      </c>
      <c r="C11" s="5" t="s">
        <v>322</v>
      </c>
      <c r="D11" s="6"/>
      <c r="E11" s="7" t="s">
        <v>168</v>
      </c>
      <c r="F11" s="7">
        <v>128</v>
      </c>
    </row>
    <row r="12" spans="1:6">
      <c r="A12" s="3" t="s">
        <v>159</v>
      </c>
      <c r="B12" s="3" t="s">
        <v>266</v>
      </c>
      <c r="C12" s="5" t="s">
        <v>169</v>
      </c>
      <c r="D12" s="6"/>
      <c r="E12" s="7" t="s">
        <v>168</v>
      </c>
      <c r="F12" s="7">
        <v>128</v>
      </c>
    </row>
    <row r="13" spans="1:6">
      <c r="A13" s="3" t="s">
        <v>276</v>
      </c>
      <c r="B13" s="3" t="s">
        <v>267</v>
      </c>
      <c r="C13" s="5" t="s">
        <v>170</v>
      </c>
      <c r="D13" s="6"/>
      <c r="E13" s="7" t="s">
        <v>168</v>
      </c>
      <c r="F13" s="7">
        <v>128</v>
      </c>
    </row>
    <row r="14" spans="1:6">
      <c r="A14" s="3" t="s">
        <v>278</v>
      </c>
      <c r="B14" s="3" t="s">
        <v>268</v>
      </c>
      <c r="C14" s="5" t="s">
        <v>171</v>
      </c>
      <c r="D14" s="6"/>
      <c r="E14" s="7" t="s">
        <v>168</v>
      </c>
      <c r="F14" s="7">
        <v>128</v>
      </c>
    </row>
    <row r="15" spans="1:6">
      <c r="A15" s="3" t="s">
        <v>280</v>
      </c>
      <c r="B15" s="3" t="s">
        <v>269</v>
      </c>
      <c r="C15" s="5" t="s">
        <v>172</v>
      </c>
      <c r="D15" s="6"/>
      <c r="E15" s="7" t="s">
        <v>168</v>
      </c>
      <c r="F15" s="7">
        <v>128</v>
      </c>
    </row>
    <row r="16" spans="1:6">
      <c r="A16" s="3" t="s">
        <v>282</v>
      </c>
      <c r="B16" s="3" t="s">
        <v>270</v>
      </c>
      <c r="C16" s="5" t="s">
        <v>173</v>
      </c>
      <c r="D16" s="6"/>
      <c r="E16" s="7" t="s">
        <v>168</v>
      </c>
      <c r="F16" s="7">
        <v>128</v>
      </c>
    </row>
    <row r="17" spans="1:6">
      <c r="A17" s="3" t="s">
        <v>284</v>
      </c>
      <c r="B17" s="3" t="s">
        <v>271</v>
      </c>
      <c r="C17" s="5" t="s">
        <v>177</v>
      </c>
      <c r="D17" s="6"/>
      <c r="E17" s="7" t="s">
        <v>168</v>
      </c>
      <c r="F17" s="7">
        <v>128</v>
      </c>
    </row>
    <row r="18" spans="1:6">
      <c r="A18" s="3" t="s">
        <v>286</v>
      </c>
      <c r="B18" s="3" t="s">
        <v>273</v>
      </c>
      <c r="C18" s="5" t="s">
        <v>274</v>
      </c>
      <c r="D18" s="6"/>
      <c r="E18" s="7" t="s">
        <v>168</v>
      </c>
      <c r="F18" s="7">
        <v>128</v>
      </c>
    </row>
    <row r="19" spans="1:6">
      <c r="A19" s="3" t="s">
        <v>289</v>
      </c>
      <c r="B19" s="3" t="s">
        <v>275</v>
      </c>
      <c r="C19" s="5" t="s">
        <v>147</v>
      </c>
      <c r="D19" s="8"/>
      <c r="E19" s="7" t="s">
        <v>168</v>
      </c>
      <c r="F19" s="7">
        <v>128</v>
      </c>
    </row>
    <row r="20" spans="1:6">
      <c r="A20" s="3" t="s">
        <v>291</v>
      </c>
      <c r="B20" s="3" t="s">
        <v>277</v>
      </c>
      <c r="C20" s="5" t="s">
        <v>181</v>
      </c>
      <c r="D20" s="8"/>
      <c r="E20" s="7" t="s">
        <v>168</v>
      </c>
      <c r="F20" s="7">
        <v>128</v>
      </c>
    </row>
    <row r="21" spans="1:6">
      <c r="A21" s="3" t="s">
        <v>294</v>
      </c>
      <c r="B21" s="3" t="s">
        <v>279</v>
      </c>
      <c r="C21" s="8" t="s">
        <v>182</v>
      </c>
      <c r="D21" s="8"/>
      <c r="E21" s="3" t="s">
        <v>183</v>
      </c>
      <c r="F21" s="3"/>
    </row>
    <row r="22" spans="1:6">
      <c r="A22" s="3" t="s">
        <v>296</v>
      </c>
      <c r="B22" s="3" t="s">
        <v>281</v>
      </c>
      <c r="C22" s="8" t="s">
        <v>151</v>
      </c>
      <c r="D22" s="8" t="s">
        <v>0</v>
      </c>
      <c r="E22" s="3" t="s">
        <v>168</v>
      </c>
      <c r="F22" s="7">
        <v>128</v>
      </c>
    </row>
    <row r="23" spans="1:6">
      <c r="A23" s="3" t="s">
        <v>298</v>
      </c>
      <c r="B23" s="3" t="s">
        <v>283</v>
      </c>
      <c r="C23" s="8" t="s">
        <v>153</v>
      </c>
      <c r="D23" s="8" t="s">
        <v>0</v>
      </c>
      <c r="E23" s="3" t="s">
        <v>168</v>
      </c>
      <c r="F23" s="7">
        <v>128</v>
      </c>
    </row>
    <row r="24" spans="1:6">
      <c r="A24" s="3" t="s">
        <v>300</v>
      </c>
      <c r="B24" s="3" t="s">
        <v>285</v>
      </c>
      <c r="C24" s="8" t="s">
        <v>155</v>
      </c>
      <c r="D24" s="8" t="s">
        <v>0</v>
      </c>
      <c r="E24" s="3" t="s">
        <v>168</v>
      </c>
      <c r="F24" s="7">
        <v>128</v>
      </c>
    </row>
    <row r="25" spans="1:6">
      <c r="A25" s="3" t="s">
        <v>302</v>
      </c>
      <c r="B25" s="3" t="s">
        <v>287</v>
      </c>
      <c r="C25" s="8" t="s">
        <v>158</v>
      </c>
      <c r="D25" s="8" t="s">
        <v>0</v>
      </c>
      <c r="E25" s="3" t="s">
        <v>288</v>
      </c>
      <c r="F25" s="3">
        <v>32</v>
      </c>
    </row>
    <row r="26" spans="1:6">
      <c r="A26" s="3" t="s">
        <v>438</v>
      </c>
      <c r="B26" s="3" t="s">
        <v>290</v>
      </c>
      <c r="C26" s="8" t="s">
        <v>186</v>
      </c>
      <c r="D26" s="8" t="s">
        <v>0</v>
      </c>
      <c r="E26" s="3" t="s">
        <v>187</v>
      </c>
      <c r="F26" s="3"/>
    </row>
    <row r="27" spans="1:6">
      <c r="A27" s="3" t="s">
        <v>440</v>
      </c>
      <c r="B27" s="3" t="s">
        <v>292</v>
      </c>
      <c r="C27" s="8" t="s">
        <v>293</v>
      </c>
      <c r="D27" s="8" t="s">
        <v>0</v>
      </c>
      <c r="E27" s="3" t="s">
        <v>162</v>
      </c>
      <c r="F27" s="3">
        <v>400</v>
      </c>
    </row>
    <row r="28" spans="1:6">
      <c r="A28" s="3" t="s">
        <v>443</v>
      </c>
      <c r="B28" s="3" t="s">
        <v>530</v>
      </c>
      <c r="C28" s="8" t="s">
        <v>407</v>
      </c>
      <c r="D28" s="8"/>
      <c r="E28" s="3" t="s">
        <v>175</v>
      </c>
      <c r="F28" s="3">
        <v>3.83</v>
      </c>
    </row>
    <row r="29" spans="1:6">
      <c r="A29" s="3">
        <v>26</v>
      </c>
      <c r="B29" s="3" t="s">
        <v>297</v>
      </c>
      <c r="C29" s="8" t="s">
        <v>176</v>
      </c>
      <c r="D29" s="8"/>
      <c r="E29" s="3" t="s">
        <v>175</v>
      </c>
      <c r="F29" s="3">
        <v>4.83</v>
      </c>
    </row>
    <row r="30" spans="1:6">
      <c r="A30" s="3">
        <v>27</v>
      </c>
      <c r="B30" s="3" t="s">
        <v>299</v>
      </c>
      <c r="C30" s="8" t="s">
        <v>178</v>
      </c>
      <c r="D30" s="8" t="s">
        <v>0</v>
      </c>
      <c r="E30" s="3" t="s">
        <v>179</v>
      </c>
      <c r="F30" s="3">
        <v>1</v>
      </c>
    </row>
    <row r="31" spans="1:6">
      <c r="A31" s="3">
        <v>28</v>
      </c>
      <c r="B31" s="3" t="s">
        <v>301</v>
      </c>
      <c r="C31" s="8" t="s">
        <v>180</v>
      </c>
      <c r="D31" s="8" t="s">
        <v>0</v>
      </c>
      <c r="E31" s="3" t="s">
        <v>179</v>
      </c>
      <c r="F31" s="3">
        <v>3</v>
      </c>
    </row>
    <row r="32" spans="1:6">
      <c r="A32" s="3">
        <v>29</v>
      </c>
      <c r="B32" s="3" t="s">
        <v>303</v>
      </c>
      <c r="C32" s="8" t="s">
        <v>185</v>
      </c>
      <c r="D32" s="3"/>
      <c r="E32" s="3" t="s">
        <v>179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H19" sqref="H19"/>
    </sheetView>
  </sheetViews>
  <sheetFormatPr defaultColWidth="9" defaultRowHeight="30" customHeight="1" outlineLevelCol="5"/>
  <cols>
    <col min="1" max="1" width="10.2181818181818" customWidth="1"/>
    <col min="3" max="3" width="14.1090909090909" customWidth="1"/>
    <col min="4" max="4" width="18.5545454545455" customWidth="1"/>
    <col min="5" max="5" width="22.1090909090909" customWidth="1"/>
    <col min="6" max="6" width="20.8818181818182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54</v>
      </c>
      <c r="C5" s="115"/>
      <c r="D5" s="116">
        <f>'C1-3单位工程预算汇总表-ZL型'!C19</f>
        <v>429086.768</v>
      </c>
      <c r="E5" s="3">
        <f>'C1-3单位工程预算汇总表-ZL型'!C6</f>
        <v>5166.9265</v>
      </c>
      <c r="F5" s="3">
        <f>'C1-3单位工程预算汇总表-ZL型'!C12</f>
        <v>9652.97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429086.768</v>
      </c>
      <c r="E13" s="3">
        <f>SUM(E5:E12)</f>
        <v>5166.9265</v>
      </c>
      <c r="F13" s="3">
        <f>SUM(F5:F12)</f>
        <v>9652.97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4" sqref="C4:D1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378837.6915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5166.9265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5166.9265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9652.97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393657.588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35429.18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429086.768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11" sqref="B11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378837.6915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5166.9265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5166.9265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9652.97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393657.588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35429.18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429086.768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F5" sqref="F5"/>
    </sheetView>
  </sheetViews>
  <sheetFormatPr defaultColWidth="9" defaultRowHeight="30" customHeight="1" outlineLevelCol="5"/>
  <cols>
    <col min="1" max="1" width="12.8818181818182" customWidth="1"/>
    <col min="4" max="6" width="19.5545454545455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88</v>
      </c>
      <c r="C5" s="115"/>
      <c r="D5" s="116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0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0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0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0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0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C14" sqref="C14"/>
    </sheetView>
  </sheetViews>
  <sheetFormatPr defaultColWidth="9" defaultRowHeight="14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0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0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0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0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0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42549</cp:lastModifiedBy>
  <dcterms:created xsi:type="dcterms:W3CDTF">2024-03-27T06:34:00Z</dcterms:created>
  <cp:lastPrinted>2024-07-29T10:15:00Z</cp:lastPrinted>
  <dcterms:modified xsi:type="dcterms:W3CDTF">2025-08-27T03:27:52Z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2052-11.8.2.12265</vt:lpwstr>
  </property>
  <property fmtid="{D5CDD505-2E9C-101B-9397-08002B2CF9AE}" pid="4" name="KSOReadingLayout">
    <vt:bool>true</vt:bool>
  </property>
</Properties>
</file>